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stRes\FACTBOOK\2022-23\"/>
    </mc:Choice>
  </mc:AlternateContent>
  <xr:revisionPtr revIDLastSave="0" documentId="13_ncr:1_{3B54E4D3-F757-45E7-8DB1-651BF94D3CC8}" xr6:coauthVersionLast="36" xr6:coauthVersionMax="36" xr10:uidLastSave="{00000000-0000-0000-0000-000000000000}"/>
  <bookViews>
    <workbookView xWindow="240" yWindow="135" windowWidth="7035" windowHeight="3660" xr2:uid="{00000000-000D-0000-FFFF-FFFF00000000}"/>
  </bookViews>
  <sheets>
    <sheet name="D-7.0" sheetId="1" r:id="rId1"/>
  </sheets>
  <definedNames>
    <definedName name="_xlnm.Print_Area" localSheetId="0">'D-7.0'!$A$1:$AH$67</definedName>
  </definedNames>
  <calcPr calcId="191029"/>
</workbook>
</file>

<file path=xl/calcChain.xml><?xml version="1.0" encoding="utf-8"?>
<calcChain xmlns="http://schemas.openxmlformats.org/spreadsheetml/2006/main">
  <c r="AL8" i="1" l="1"/>
  <c r="AD45" i="1"/>
  <c r="AD44" i="1"/>
  <c r="AD43" i="1"/>
  <c r="AD42" i="1"/>
  <c r="AG45" i="1"/>
  <c r="AG44" i="1"/>
  <c r="AG43" i="1"/>
  <c r="AG42" i="1"/>
  <c r="AE45" i="1"/>
  <c r="AE44" i="1"/>
  <c r="AE43" i="1"/>
  <c r="AE42" i="1"/>
  <c r="AC44" i="1"/>
  <c r="AC45" i="1"/>
  <c r="AC43" i="1"/>
  <c r="AC42" i="1"/>
  <c r="AH37" i="1" l="1"/>
  <c r="AG37" i="1"/>
  <c r="AH36" i="1"/>
  <c r="AG36" i="1"/>
  <c r="AH35" i="1"/>
  <c r="AG35" i="1"/>
  <c r="AH34" i="1"/>
  <c r="AG34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L22" i="1"/>
  <c r="AF33" i="1" l="1"/>
  <c r="AF6" i="1" l="1"/>
  <c r="AM10" i="1"/>
  <c r="AM15" i="1"/>
  <c r="AM19" i="1"/>
  <c r="AM24" i="1"/>
  <c r="AM28" i="1"/>
  <c r="AM8" i="1"/>
  <c r="AM13" i="1"/>
  <c r="AM22" i="1"/>
  <c r="AM31" i="1"/>
  <c r="AM29" i="1"/>
  <c r="AM14" i="1"/>
  <c r="AM18" i="1"/>
  <c r="AM23" i="1"/>
  <c r="AM27" i="1"/>
  <c r="AM32" i="1"/>
  <c r="AM11" i="1"/>
  <c r="AM16" i="1"/>
  <c r="AM21" i="1"/>
  <c r="AM25" i="1"/>
  <c r="AM30" i="1"/>
  <c r="AM20" i="1"/>
  <c r="AM12" i="1"/>
  <c r="AM17" i="1"/>
  <c r="AM26" i="1"/>
  <c r="AM9" i="1"/>
  <c r="AL32" i="1"/>
  <c r="AL31" i="1"/>
  <c r="AL30" i="1"/>
  <c r="AL29" i="1"/>
  <c r="AL28" i="1"/>
  <c r="AL27" i="1"/>
  <c r="AL26" i="1"/>
  <c r="AL25" i="1"/>
  <c r="AL24" i="1"/>
  <c r="AL23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E33" i="1" l="1"/>
  <c r="AD33" i="1"/>
  <c r="AD6" i="1" s="1"/>
  <c r="C49" i="1" l="1"/>
  <c r="C53" i="1"/>
  <c r="C48" i="1"/>
  <c r="C46" i="1"/>
  <c r="C51" i="1"/>
  <c r="C45" i="1"/>
  <c r="C47" i="1"/>
  <c r="C52" i="1"/>
  <c r="C50" i="1"/>
  <c r="C44" i="1"/>
  <c r="AE46" i="1"/>
  <c r="AC33" i="1"/>
  <c r="AC6" i="1" s="1"/>
  <c r="AB47" i="1" l="1"/>
  <c r="AG47" i="1"/>
  <c r="Z47" i="1"/>
  <c r="AE6" i="1"/>
  <c r="AH44" i="1" l="1"/>
  <c r="AH42" i="1"/>
  <c r="AH45" i="1"/>
  <c r="AH43" i="1"/>
  <c r="C54" i="1"/>
  <c r="AA33" i="1"/>
  <c r="AG33" i="1" s="1"/>
  <c r="AA6" i="1" l="1"/>
  <c r="AG6" i="1" s="1"/>
  <c r="AI46" i="1"/>
  <c r="Z33" i="1"/>
  <c r="Z6" i="1" s="1"/>
  <c r="Y33" i="1" l="1"/>
  <c r="Y6" i="1" l="1"/>
  <c r="AB33" i="1"/>
  <c r="X33" i="1"/>
  <c r="W33" i="1"/>
  <c r="W6" i="1" s="1"/>
  <c r="V33" i="1"/>
  <c r="U33" i="1"/>
  <c r="U6" i="1" s="1"/>
  <c r="T33" i="1"/>
  <c r="S33" i="1"/>
  <c r="R33" i="1"/>
  <c r="Q33" i="1"/>
  <c r="O33" i="1"/>
  <c r="O6" i="1" s="1"/>
  <c r="N33" i="1"/>
  <c r="N6" i="1" s="1"/>
  <c r="M33" i="1"/>
  <c r="L33" i="1"/>
  <c r="L6" i="1" s="1"/>
  <c r="K33" i="1"/>
  <c r="K6" i="1" s="1"/>
  <c r="J33" i="1"/>
  <c r="J6" i="1" s="1"/>
  <c r="I33" i="1"/>
  <c r="I6" i="1" s="1"/>
  <c r="H33" i="1"/>
  <c r="H6" i="1" s="1"/>
  <c r="G33" i="1"/>
  <c r="E33" i="1"/>
  <c r="E6" i="1" s="1"/>
  <c r="D33" i="1"/>
  <c r="D6" i="1" s="1"/>
  <c r="M34" i="1"/>
  <c r="P36" i="1"/>
  <c r="P34" i="1"/>
  <c r="P9" i="1"/>
  <c r="P10" i="1"/>
  <c r="P11" i="1"/>
  <c r="P12" i="1"/>
  <c r="P13" i="1"/>
  <c r="P14" i="1"/>
  <c r="P15" i="1"/>
  <c r="P16" i="1"/>
  <c r="P17" i="1"/>
  <c r="P18" i="1"/>
  <c r="P20" i="1"/>
  <c r="P21" i="1"/>
  <c r="P22" i="1"/>
  <c r="P23" i="1"/>
  <c r="P24" i="1"/>
  <c r="P25" i="1"/>
  <c r="P26" i="1"/>
  <c r="P27" i="1"/>
  <c r="P28" i="1"/>
  <c r="P29" i="1"/>
  <c r="P30" i="1"/>
  <c r="P31" i="1"/>
  <c r="V6" i="1" l="1"/>
  <c r="AH6" i="1" s="1"/>
  <c r="AH33" i="1"/>
  <c r="AF43" i="1"/>
  <c r="AF44" i="1"/>
  <c r="AF42" i="1"/>
  <c r="AF45" i="1"/>
  <c r="AG46" i="1" s="1"/>
  <c r="T6" i="1"/>
  <c r="AH47" i="1"/>
  <c r="X6" i="1"/>
  <c r="P33" i="1"/>
  <c r="P6" i="1" s="1"/>
  <c r="M6" i="1"/>
  <c r="AB6" i="1"/>
  <c r="Q6" i="1"/>
  <c r="R6" i="1"/>
  <c r="AF46" i="1" l="1"/>
  <c r="AB46" i="1" l="1"/>
</calcChain>
</file>

<file path=xl/sharedStrings.xml><?xml version="1.0" encoding="utf-8"?>
<sst xmlns="http://schemas.openxmlformats.org/spreadsheetml/2006/main" count="68" uniqueCount="51">
  <si>
    <t>Table 6:</t>
  </si>
  <si>
    <t>% Change</t>
  </si>
  <si>
    <t>Fall Semesters</t>
  </si>
  <si>
    <t>Total Headcount</t>
  </si>
  <si>
    <t>Allegany</t>
  </si>
  <si>
    <t>Anne Arundel</t>
  </si>
  <si>
    <t>Baltimore</t>
  </si>
  <si>
    <t>Baltimore City</t>
  </si>
  <si>
    <t>Calvert</t>
  </si>
  <si>
    <t>Carroll</t>
  </si>
  <si>
    <t>Charles</t>
  </si>
  <si>
    <t>Frederick</t>
  </si>
  <si>
    <t>Garrett</t>
  </si>
  <si>
    <t>Harford</t>
  </si>
  <si>
    <t>Howard</t>
  </si>
  <si>
    <t>Montgomery</t>
  </si>
  <si>
    <t>Prince George's</t>
  </si>
  <si>
    <t>St. Mary's</t>
  </si>
  <si>
    <t>Washington</t>
  </si>
  <si>
    <t>Wicomico</t>
  </si>
  <si>
    <t>Worcester</t>
  </si>
  <si>
    <t>Unknown</t>
  </si>
  <si>
    <t>Total for MD</t>
  </si>
  <si>
    <t>Out-of-State</t>
  </si>
  <si>
    <t>Region</t>
  </si>
  <si>
    <t>% of Total</t>
  </si>
  <si>
    <t>Eastern Shore</t>
  </si>
  <si>
    <t>Western Shore</t>
  </si>
  <si>
    <t>Count</t>
  </si>
  <si>
    <t>Non-Maryland</t>
  </si>
  <si>
    <t>TOTAL</t>
  </si>
  <si>
    <t>Nonresident Alien</t>
  </si>
  <si>
    <t>chng</t>
  </si>
  <si>
    <t xml:space="preserve">10-yr </t>
  </si>
  <si>
    <t>Figure 10:</t>
  </si>
  <si>
    <t>Armed Forces Europe or Pacific</t>
  </si>
  <si>
    <t>Other Foreign Address</t>
  </si>
  <si>
    <t>NRA/Foreign address</t>
  </si>
  <si>
    <r>
      <t xml:space="preserve">Total </t>
    </r>
    <r>
      <rPr>
        <b/>
        <i/>
        <sz val="12"/>
        <rFont val="Arial"/>
        <family val="2"/>
      </rPr>
      <t>Undergraduate</t>
    </r>
    <r>
      <rPr>
        <b/>
        <sz val="12"/>
        <rFont val="Arial"/>
        <family val="2"/>
      </rPr>
      <t xml:space="preserve"> Enrollment by County of Residence:  2012, 2017-2022</t>
    </r>
  </si>
  <si>
    <t>Since 2017</t>
  </si>
  <si>
    <t>Caroline (Eastern Shore)</t>
  </si>
  <si>
    <t>Cecil (Eastern Shore)</t>
  </si>
  <si>
    <t>Dorchester (Eastern Shore)</t>
  </si>
  <si>
    <t>Kent (Eastern Shore)</t>
  </si>
  <si>
    <t>Queen Anne's (Eastern Shore)</t>
  </si>
  <si>
    <t>Somerset (Eastern Shore)</t>
  </si>
  <si>
    <t>Talbot (Eastern Shore)</t>
  </si>
  <si>
    <t>Wicomico (Eastern Shore)</t>
  </si>
  <si>
    <t>Worcester (Eastern Shore)</t>
  </si>
  <si>
    <t>Primary Feeder Counties &amp;</t>
  </si>
  <si>
    <t>Percentages based on MD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</si>
</sst>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b/>
      <sz val="11"/>
      <color indexed="9"/>
      <name val="Arial"/>
      <family val="2"/>
    </font>
    <font>
      <b/>
      <u/>
      <sz val="8"/>
      <name val="Arial"/>
      <family val="2"/>
    </font>
    <font>
      <b/>
      <u/>
      <sz val="11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FFF99"/>
        <bgColor indexed="9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9" fontId="1" fillId="0" borderId="0" applyFon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2" fillId="0" borderId="0" xfId="0" applyFont="1" applyBorder="1"/>
    <xf numFmtId="41" fontId="3" fillId="0" borderId="0" xfId="0" applyNumberFormat="1" applyFont="1" applyFill="1" applyBorder="1" applyAlignment="1">
      <alignment horizontal="right"/>
    </xf>
    <xf numFmtId="41" fontId="3" fillId="2" borderId="0" xfId="0" applyNumberFormat="1" applyFont="1" applyFill="1" applyBorder="1" applyAlignment="1">
      <alignment horizontal="right"/>
    </xf>
    <xf numFmtId="0" fontId="2" fillId="0" borderId="0" xfId="0" applyFont="1" applyBorder="1" applyAlignment="1"/>
    <xf numFmtId="0" fontId="3" fillId="2" borderId="0" xfId="0" applyFont="1" applyFill="1" applyBorder="1"/>
    <xf numFmtId="0" fontId="4" fillId="0" borderId="0" xfId="0" applyFont="1" applyBorder="1" applyAlignment="1"/>
    <xf numFmtId="0" fontId="4" fillId="0" borderId="0" xfId="0" applyFont="1" applyBorder="1"/>
    <xf numFmtId="164" fontId="4" fillId="0" borderId="0" xfId="0" applyNumberFormat="1" applyFont="1" applyBorder="1" applyAlignment="1"/>
    <xf numFmtId="0" fontId="4" fillId="0" borderId="0" xfId="0" applyFont="1"/>
    <xf numFmtId="164" fontId="4" fillId="0" borderId="0" xfId="0" quotePrefix="1" applyNumberFormat="1" applyFont="1" applyBorder="1" applyAlignment="1"/>
    <xf numFmtId="0" fontId="3" fillId="0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4" xfId="0" applyFont="1" applyBorder="1"/>
    <xf numFmtId="41" fontId="2" fillId="0" borderId="0" xfId="0" applyNumberFormat="1" applyFont="1"/>
    <xf numFmtId="0" fontId="6" fillId="0" borderId="5" xfId="0" applyFont="1" applyBorder="1"/>
    <xf numFmtId="0" fontId="4" fillId="0" borderId="6" xfId="0" applyFont="1" applyBorder="1"/>
    <xf numFmtId="0" fontId="2" fillId="0" borderId="4" xfId="0" applyFont="1" applyBorder="1" applyAlignment="1"/>
    <xf numFmtId="41" fontId="2" fillId="0" borderId="3" xfId="0" applyNumberFormat="1" applyFont="1" applyBorder="1"/>
    <xf numFmtId="41" fontId="2" fillId="4" borderId="3" xfId="0" applyNumberFormat="1" applyFont="1" applyFill="1" applyBorder="1"/>
    <xf numFmtId="41" fontId="2" fillId="4" borderId="9" xfId="0" applyNumberFormat="1" applyFont="1" applyFill="1" applyBorder="1"/>
    <xf numFmtId="0" fontId="8" fillId="0" borderId="0" xfId="0" applyFont="1"/>
    <xf numFmtId="0" fontId="8" fillId="2" borderId="0" xfId="0" applyFont="1" applyFill="1"/>
    <xf numFmtId="0" fontId="2" fillId="7" borderId="14" xfId="0" applyFont="1" applyFill="1" applyBorder="1"/>
    <xf numFmtId="41" fontId="3" fillId="7" borderId="15" xfId="0" applyNumberFormat="1" applyFont="1" applyFill="1" applyBorder="1" applyAlignment="1">
      <alignment horizontal="right"/>
    </xf>
    <xf numFmtId="41" fontId="3" fillId="8" borderId="15" xfId="0" applyNumberFormat="1" applyFont="1" applyFill="1" applyBorder="1" applyAlignment="1">
      <alignment horizontal="right"/>
    </xf>
    <xf numFmtId="41" fontId="3" fillId="8" borderId="16" xfId="0" applyNumberFormat="1" applyFont="1" applyFill="1" applyBorder="1" applyAlignment="1">
      <alignment horizontal="right"/>
    </xf>
    <xf numFmtId="41" fontId="2" fillId="8" borderId="15" xfId="0" applyNumberFormat="1" applyFont="1" applyFill="1" applyBorder="1" applyAlignment="1">
      <alignment horizontal="right"/>
    </xf>
    <xf numFmtId="41" fontId="2" fillId="5" borderId="15" xfId="0" applyNumberFormat="1" applyFont="1" applyFill="1" applyBorder="1" applyAlignment="1">
      <alignment horizontal="right"/>
    </xf>
    <xf numFmtId="41" fontId="2" fillId="5" borderId="17" xfId="0" applyNumberFormat="1" applyFont="1" applyFill="1" applyBorder="1" applyAlignment="1">
      <alignment horizontal="right"/>
    </xf>
    <xf numFmtId="0" fontId="3" fillId="7" borderId="15" xfId="0" applyFont="1" applyFill="1" applyBorder="1"/>
    <xf numFmtId="0" fontId="2" fillId="9" borderId="14" xfId="0" applyFont="1" applyFill="1" applyBorder="1"/>
    <xf numFmtId="0" fontId="3" fillId="9" borderId="15" xfId="0" applyFont="1" applyFill="1" applyBorder="1"/>
    <xf numFmtId="41" fontId="3" fillId="9" borderId="15" xfId="0" applyNumberFormat="1" applyFont="1" applyFill="1" applyBorder="1" applyAlignment="1">
      <alignment horizontal="right"/>
    </xf>
    <xf numFmtId="41" fontId="3" fillId="9" borderId="3" xfId="0" applyNumberFormat="1" applyFont="1" applyFill="1" applyBorder="1" applyAlignment="1">
      <alignment horizontal="right"/>
    </xf>
    <xf numFmtId="41" fontId="3" fillId="10" borderId="15" xfId="0" applyNumberFormat="1" applyFont="1" applyFill="1" applyBorder="1" applyAlignment="1">
      <alignment horizontal="right"/>
    </xf>
    <xf numFmtId="0" fontId="2" fillId="0" borderId="2" xfId="0" applyFont="1" applyBorder="1"/>
    <xf numFmtId="0" fontId="3" fillId="7" borderId="0" xfId="0" applyFont="1" applyFill="1" applyBorder="1"/>
    <xf numFmtId="41" fontId="3" fillId="7" borderId="0" xfId="0" applyNumberFormat="1" applyFont="1" applyFill="1" applyBorder="1" applyAlignment="1">
      <alignment horizontal="right"/>
    </xf>
    <xf numFmtId="0" fontId="2" fillId="7" borderId="1" xfId="0" applyFont="1" applyFill="1" applyBorder="1"/>
    <xf numFmtId="0" fontId="2" fillId="7" borderId="0" xfId="0" applyFont="1" applyFill="1" applyBorder="1"/>
    <xf numFmtId="41" fontId="2" fillId="7" borderId="0" xfId="0" applyNumberFormat="1" applyFont="1" applyFill="1" applyBorder="1" applyAlignment="1">
      <alignment horizontal="right"/>
    </xf>
    <xf numFmtId="0" fontId="2" fillId="7" borderId="3" xfId="0" applyFont="1" applyFill="1" applyBorder="1"/>
    <xf numFmtId="41" fontId="2" fillId="7" borderId="3" xfId="0" applyNumberFormat="1" applyFont="1" applyFill="1" applyBorder="1"/>
    <xf numFmtId="0" fontId="2" fillId="7" borderId="18" xfId="0" applyFont="1" applyFill="1" applyBorder="1"/>
    <xf numFmtId="0" fontId="2" fillId="7" borderId="4" xfId="0" applyFont="1" applyFill="1" applyBorder="1"/>
    <xf numFmtId="0" fontId="3" fillId="7" borderId="2" xfId="0" applyFont="1" applyFill="1" applyBorder="1" applyAlignment="1">
      <alignment horizontal="right"/>
    </xf>
    <xf numFmtId="41" fontId="2" fillId="7" borderId="20" xfId="0" applyNumberFormat="1" applyFont="1" applyFill="1" applyBorder="1"/>
    <xf numFmtId="41" fontId="3" fillId="7" borderId="19" xfId="0" applyNumberFormat="1" applyFont="1" applyFill="1" applyBorder="1" applyAlignment="1">
      <alignment horizontal="right"/>
    </xf>
    <xf numFmtId="41" fontId="2" fillId="7" borderId="9" xfId="0" applyNumberFormat="1" applyFont="1" applyFill="1" applyBorder="1"/>
    <xf numFmtId="41" fontId="3" fillId="10" borderId="17" xfId="0" applyNumberFormat="1" applyFont="1" applyFill="1" applyBorder="1" applyAlignment="1">
      <alignment horizontal="right"/>
    </xf>
    <xf numFmtId="0" fontId="3" fillId="7" borderId="8" xfId="0" applyFont="1" applyFill="1" applyBorder="1" applyAlignment="1">
      <alignment horizontal="right"/>
    </xf>
    <xf numFmtId="41" fontId="3" fillId="7" borderId="1" xfId="0" applyNumberFormat="1" applyFont="1" applyFill="1" applyBorder="1" applyAlignment="1">
      <alignment horizontal="right"/>
    </xf>
    <xf numFmtId="41" fontId="3" fillId="7" borderId="21" xfId="0" applyNumberFormat="1" applyFont="1" applyFill="1" applyBorder="1" applyAlignment="1">
      <alignment horizontal="right"/>
    </xf>
    <xf numFmtId="0" fontId="3" fillId="0" borderId="4" xfId="0" applyFont="1" applyFill="1" applyBorder="1"/>
    <xf numFmtId="41" fontId="3" fillId="0" borderId="0" xfId="0" applyNumberFormat="1" applyFont="1" applyBorder="1" applyAlignment="1">
      <alignment horizontal="right"/>
    </xf>
    <xf numFmtId="0" fontId="2" fillId="0" borderId="27" xfId="0" applyFont="1" applyBorder="1"/>
    <xf numFmtId="0" fontId="3" fillId="0" borderId="28" xfId="0" applyFont="1" applyFill="1" applyBorder="1" applyAlignment="1">
      <alignment horizontal="right"/>
    </xf>
    <xf numFmtId="0" fontId="3" fillId="0" borderId="25" xfId="0" applyFont="1" applyFill="1" applyBorder="1"/>
    <xf numFmtId="41" fontId="3" fillId="0" borderId="25" xfId="0" applyNumberFormat="1" applyFont="1" applyBorder="1" applyAlignment="1">
      <alignment horizontal="right"/>
    </xf>
    <xf numFmtId="41" fontId="3" fillId="0" borderId="25" xfId="0" applyNumberFormat="1" applyFont="1" applyFill="1" applyBorder="1" applyAlignment="1">
      <alignment horizontal="right"/>
    </xf>
    <xf numFmtId="41" fontId="3" fillId="7" borderId="29" xfId="0" applyNumberFormat="1" applyFont="1" applyFill="1" applyBorder="1" applyAlignment="1">
      <alignment horizontal="right"/>
    </xf>
    <xf numFmtId="41" fontId="3" fillId="8" borderId="19" xfId="0" applyNumberFormat="1" applyFont="1" applyFill="1" applyBorder="1" applyAlignment="1">
      <alignment horizontal="right"/>
    </xf>
    <xf numFmtId="0" fontId="2" fillId="7" borderId="7" xfId="0" applyFont="1" applyFill="1" applyBorder="1"/>
    <xf numFmtId="0" fontId="3" fillId="7" borderId="3" xfId="0" applyFont="1" applyFill="1" applyBorder="1"/>
    <xf numFmtId="41" fontId="3" fillId="7" borderId="3" xfId="0" applyNumberFormat="1" applyFont="1" applyFill="1" applyBorder="1" applyAlignment="1">
      <alignment horizontal="right"/>
    </xf>
    <xf numFmtId="41" fontId="2" fillId="8" borderId="3" xfId="0" applyNumberFormat="1" applyFont="1" applyFill="1" applyBorder="1" applyAlignment="1">
      <alignment horizontal="right"/>
    </xf>
    <xf numFmtId="41" fontId="2" fillId="5" borderId="3" xfId="0" applyNumberFormat="1" applyFont="1" applyFill="1" applyBorder="1" applyAlignment="1">
      <alignment horizontal="right"/>
    </xf>
    <xf numFmtId="41" fontId="2" fillId="5" borderId="9" xfId="0" applyNumberFormat="1" applyFont="1" applyFill="1" applyBorder="1" applyAlignment="1">
      <alignment horizontal="right"/>
    </xf>
    <xf numFmtId="41" fontId="3" fillId="8" borderId="3" xfId="0" applyNumberFormat="1" applyFont="1" applyFill="1" applyBorder="1" applyAlignment="1">
      <alignment horizontal="right"/>
    </xf>
    <xf numFmtId="41" fontId="2" fillId="8" borderId="9" xfId="0" applyNumberFormat="1" applyFont="1" applyFill="1" applyBorder="1" applyAlignment="1"/>
    <xf numFmtId="0" fontId="2" fillId="0" borderId="18" xfId="0" applyFont="1" applyBorder="1"/>
    <xf numFmtId="0" fontId="3" fillId="2" borderId="8" xfId="0" applyFont="1" applyFill="1" applyBorder="1" applyAlignment="1">
      <alignment horizontal="right"/>
    </xf>
    <xf numFmtId="0" fontId="3" fillId="2" borderId="1" xfId="0" applyFont="1" applyFill="1" applyBorder="1"/>
    <xf numFmtId="41" fontId="3" fillId="2" borderId="1" xfId="0" applyNumberFormat="1" applyFont="1" applyFill="1" applyBorder="1" applyAlignment="1">
      <alignment horizontal="right"/>
    </xf>
    <xf numFmtId="41" fontId="3" fillId="8" borderId="21" xfId="0" applyNumberFormat="1" applyFont="1" applyFill="1" applyBorder="1" applyAlignment="1">
      <alignment horizontal="right"/>
    </xf>
    <xf numFmtId="0" fontId="3" fillId="7" borderId="28" xfId="0" applyFont="1" applyFill="1" applyBorder="1" applyAlignment="1">
      <alignment horizontal="right"/>
    </xf>
    <xf numFmtId="41" fontId="3" fillId="7" borderId="25" xfId="0" applyNumberFormat="1" applyFont="1" applyFill="1" applyBorder="1" applyAlignment="1">
      <alignment horizontal="right"/>
    </xf>
    <xf numFmtId="41" fontId="2" fillId="8" borderId="17" xfId="0" applyNumberFormat="1" applyFont="1" applyFill="1" applyBorder="1" applyAlignment="1"/>
    <xf numFmtId="41" fontId="2" fillId="11" borderId="15" xfId="0" applyNumberFormat="1" applyFont="1" applyFill="1" applyBorder="1" applyAlignment="1">
      <alignment horizontal="right"/>
    </xf>
    <xf numFmtId="41" fontId="2" fillId="11" borderId="17" xfId="0" applyNumberFormat="1" applyFont="1" applyFill="1" applyBorder="1" applyAlignment="1">
      <alignment horizontal="right"/>
    </xf>
    <xf numFmtId="0" fontId="2" fillId="2" borderId="37" xfId="0" applyFont="1" applyFill="1" applyBorder="1"/>
    <xf numFmtId="0" fontId="3" fillId="2" borderId="38" xfId="0" applyFont="1" applyFill="1" applyBorder="1" applyAlignment="1">
      <alignment horizontal="right"/>
    </xf>
    <xf numFmtId="0" fontId="3" fillId="2" borderId="39" xfId="0" applyFont="1" applyFill="1" applyBorder="1"/>
    <xf numFmtId="41" fontId="3" fillId="2" borderId="39" xfId="0" applyNumberFormat="1" applyFont="1" applyFill="1" applyBorder="1" applyAlignment="1">
      <alignment horizontal="right"/>
    </xf>
    <xf numFmtId="41" fontId="3" fillId="8" borderId="36" xfId="0" applyNumberFormat="1" applyFont="1" applyFill="1" applyBorder="1" applyAlignment="1">
      <alignment horizontal="right"/>
    </xf>
    <xf numFmtId="41" fontId="10" fillId="7" borderId="0" xfId="0" applyNumberFormat="1" applyFont="1" applyFill="1" applyBorder="1" applyAlignment="1">
      <alignment horizontal="left"/>
    </xf>
    <xf numFmtId="0" fontId="2" fillId="7" borderId="40" xfId="0" applyFont="1" applyFill="1" applyBorder="1"/>
    <xf numFmtId="0" fontId="3" fillId="7" borderId="11" xfId="0" applyFont="1" applyFill="1" applyBorder="1" applyAlignment="1">
      <alignment horizontal="right"/>
    </xf>
    <xf numFmtId="0" fontId="3" fillId="7" borderId="6" xfId="0" applyFont="1" applyFill="1" applyBorder="1"/>
    <xf numFmtId="41" fontId="3" fillId="7" borderId="6" xfId="0" applyNumberFormat="1" applyFont="1" applyFill="1" applyBorder="1" applyAlignment="1">
      <alignment horizontal="right"/>
    </xf>
    <xf numFmtId="41" fontId="2" fillId="8" borderId="6" xfId="0" applyNumberFormat="1" applyFont="1" applyFill="1" applyBorder="1" applyAlignment="1">
      <alignment horizontal="right"/>
    </xf>
    <xf numFmtId="41" fontId="2" fillId="5" borderId="6" xfId="0" applyNumberFormat="1" applyFont="1" applyFill="1" applyBorder="1" applyAlignment="1">
      <alignment horizontal="right"/>
    </xf>
    <xf numFmtId="41" fontId="2" fillId="5" borderId="11" xfId="0" applyNumberFormat="1" applyFont="1" applyFill="1" applyBorder="1" applyAlignment="1">
      <alignment horizontal="right"/>
    </xf>
    <xf numFmtId="41" fontId="3" fillId="8" borderId="6" xfId="0" applyNumberFormat="1" applyFont="1" applyFill="1" applyBorder="1" applyAlignment="1">
      <alignment horizontal="right"/>
    </xf>
    <xf numFmtId="41" fontId="3" fillId="8" borderId="41" xfId="0" applyNumberFormat="1" applyFont="1" applyFill="1" applyBorder="1" applyAlignment="1">
      <alignment horizontal="right"/>
    </xf>
    <xf numFmtId="41" fontId="2" fillId="8" borderId="11" xfId="0" applyNumberFormat="1" applyFont="1" applyFill="1" applyBorder="1" applyAlignment="1"/>
    <xf numFmtId="41" fontId="3" fillId="10" borderId="17" xfId="0" applyNumberFormat="1" applyFont="1" applyFill="1" applyBorder="1" applyAlignment="1"/>
    <xf numFmtId="0" fontId="10" fillId="2" borderId="0" xfId="0" applyFont="1" applyFill="1" applyBorder="1" applyAlignment="1"/>
    <xf numFmtId="0" fontId="10" fillId="0" borderId="0" xfId="0" applyFont="1"/>
    <xf numFmtId="41" fontId="10" fillId="0" borderId="0" xfId="0" applyNumberFormat="1" applyFont="1"/>
    <xf numFmtId="0" fontId="11" fillId="7" borderId="0" xfId="0" applyFont="1" applyFill="1"/>
    <xf numFmtId="164" fontId="11" fillId="7" borderId="0" xfId="4" applyNumberFormat="1" applyFont="1" applyFill="1"/>
    <xf numFmtId="0" fontId="2" fillId="7" borderId="37" xfId="0" applyFont="1" applyFill="1" applyBorder="1"/>
    <xf numFmtId="0" fontId="3" fillId="7" borderId="39" xfId="0" applyFont="1" applyFill="1" applyBorder="1"/>
    <xf numFmtId="41" fontId="3" fillId="7" borderId="39" xfId="0" applyNumberFormat="1" applyFont="1" applyFill="1" applyBorder="1" applyAlignment="1">
      <alignment horizontal="right"/>
    </xf>
    <xf numFmtId="41" fontId="2" fillId="8" borderId="39" xfId="0" applyNumberFormat="1" applyFont="1" applyFill="1" applyBorder="1" applyAlignment="1">
      <alignment horizontal="right"/>
    </xf>
    <xf numFmtId="41" fontId="2" fillId="5" borderId="39" xfId="0" applyNumberFormat="1" applyFont="1" applyFill="1" applyBorder="1" applyAlignment="1">
      <alignment horizontal="right"/>
    </xf>
    <xf numFmtId="41" fontId="2" fillId="5" borderId="38" xfId="0" applyNumberFormat="1" applyFont="1" applyFill="1" applyBorder="1" applyAlignment="1">
      <alignment horizontal="right"/>
    </xf>
    <xf numFmtId="41" fontId="3" fillId="8" borderId="39" xfId="0" applyNumberFormat="1" applyFont="1" applyFill="1" applyBorder="1" applyAlignment="1">
      <alignment horizontal="right"/>
    </xf>
    <xf numFmtId="41" fontId="2" fillId="8" borderId="38" xfId="0" applyNumberFormat="1" applyFont="1" applyFill="1" applyBorder="1" applyAlignment="1"/>
    <xf numFmtId="0" fontId="3" fillId="7" borderId="38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6" borderId="34" xfId="0" applyFont="1" applyFill="1" applyBorder="1" applyAlignment="1">
      <alignment horizontal="center"/>
    </xf>
    <xf numFmtId="0" fontId="6" fillId="6" borderId="35" xfId="0" applyFont="1" applyFill="1" applyBorder="1" applyAlignment="1">
      <alignment horizontal="center"/>
    </xf>
    <xf numFmtId="0" fontId="12" fillId="0" borderId="0" xfId="0" applyFont="1"/>
    <xf numFmtId="0" fontId="1" fillId="0" borderId="0" xfId="0" applyFont="1"/>
    <xf numFmtId="0" fontId="12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7" borderId="27" xfId="0" applyFont="1" applyFill="1" applyBorder="1"/>
    <xf numFmtId="0" fontId="6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0" fontId="6" fillId="7" borderId="9" xfId="0" applyFont="1" applyFill="1" applyBorder="1" applyAlignment="1">
      <alignment horizontal="center"/>
    </xf>
    <xf numFmtId="0" fontId="2" fillId="7" borderId="25" xfId="0" applyFont="1" applyFill="1" applyBorder="1"/>
    <xf numFmtId="0" fontId="1" fillId="0" borderId="0" xfId="3" applyFont="1" applyBorder="1"/>
    <xf numFmtId="0" fontId="1" fillId="0" borderId="0" xfId="2" applyFont="1"/>
    <xf numFmtId="0" fontId="3" fillId="7" borderId="1" xfId="0" applyFont="1" applyFill="1" applyBorder="1"/>
    <xf numFmtId="0" fontId="15" fillId="7" borderId="0" xfId="0" applyFont="1" applyFill="1" applyBorder="1"/>
    <xf numFmtId="164" fontId="2" fillId="7" borderId="3" xfId="0" applyNumberFormat="1" applyFont="1" applyFill="1" applyBorder="1"/>
    <xf numFmtId="49" fontId="1" fillId="0" borderId="0" xfId="3" applyNumberFormat="1" applyFont="1" applyBorder="1" applyAlignment="1">
      <alignment horizontal="left"/>
    </xf>
    <xf numFmtId="41" fontId="2" fillId="7" borderId="1" xfId="0" applyNumberFormat="1" applyFont="1" applyFill="1" applyBorder="1" applyAlignment="1">
      <alignment horizontal="right"/>
    </xf>
    <xf numFmtId="41" fontId="2" fillId="7" borderId="25" xfId="0" applyNumberFormat="1" applyFont="1" applyFill="1" applyBorder="1" applyAlignment="1">
      <alignment horizontal="right"/>
    </xf>
    <xf numFmtId="41" fontId="2" fillId="0" borderId="0" xfId="0" applyNumberFormat="1" applyFont="1" applyFill="1" applyBorder="1" applyAlignment="1">
      <alignment horizontal="right"/>
    </xf>
    <xf numFmtId="41" fontId="2" fillId="0" borderId="25" xfId="0" applyNumberFormat="1" applyFont="1" applyFill="1" applyBorder="1" applyAlignment="1">
      <alignment horizontal="right"/>
    </xf>
    <xf numFmtId="41" fontId="2" fillId="3" borderId="0" xfId="0" applyNumberFormat="1" applyFont="1" applyFill="1" applyBorder="1" applyAlignment="1">
      <alignment horizontal="right"/>
    </xf>
    <xf numFmtId="41" fontId="2" fillId="3" borderId="1" xfId="0" applyNumberFormat="1" applyFont="1" applyFill="1" applyBorder="1" applyAlignment="1">
      <alignment horizontal="right"/>
    </xf>
    <xf numFmtId="41" fontId="2" fillId="3" borderId="39" xfId="0" applyNumberFormat="1" applyFont="1" applyFill="1" applyBorder="1" applyAlignment="1">
      <alignment horizontal="right"/>
    </xf>
    <xf numFmtId="164" fontId="2" fillId="7" borderId="3" xfId="4" applyNumberFormat="1" applyFont="1" applyFill="1" applyBorder="1"/>
    <xf numFmtId="164" fontId="1" fillId="7" borderId="0" xfId="4" applyNumberFormat="1" applyFont="1" applyFill="1"/>
    <xf numFmtId="0" fontId="2" fillId="4" borderId="1" xfId="0" applyFont="1" applyFill="1" applyBorder="1"/>
    <xf numFmtId="0" fontId="2" fillId="4" borderId="0" xfId="0" applyFont="1" applyFill="1" applyBorder="1"/>
    <xf numFmtId="41" fontId="2" fillId="4" borderId="0" xfId="0" applyNumberFormat="1" applyFont="1" applyFill="1" applyBorder="1" applyAlignment="1">
      <alignment horizontal="right"/>
    </xf>
    <xf numFmtId="41" fontId="2" fillId="4" borderId="1" xfId="0" applyNumberFormat="1" applyFont="1" applyFill="1" applyBorder="1" applyAlignment="1">
      <alignment horizontal="right"/>
    </xf>
    <xf numFmtId="41" fontId="2" fillId="4" borderId="25" xfId="0" applyNumberFormat="1" applyFont="1" applyFill="1" applyBorder="1" applyAlignment="1">
      <alignment horizontal="right"/>
    </xf>
    <xf numFmtId="41" fontId="2" fillId="5" borderId="0" xfId="0" applyNumberFormat="1" applyFont="1" applyFill="1" applyBorder="1" applyAlignment="1">
      <alignment horizontal="right"/>
    </xf>
    <xf numFmtId="41" fontId="2" fillId="5" borderId="1" xfId="0" applyNumberFormat="1" applyFont="1" applyFill="1" applyBorder="1" applyAlignment="1">
      <alignment horizontal="right"/>
    </xf>
    <xf numFmtId="164" fontId="2" fillId="4" borderId="3" xfId="0" applyNumberFormat="1" applyFont="1" applyFill="1" applyBorder="1"/>
    <xf numFmtId="0" fontId="2" fillId="2" borderId="1" xfId="0" applyFont="1" applyFill="1" applyBorder="1"/>
    <xf numFmtId="0" fontId="2" fillId="2" borderId="0" xfId="0" applyFont="1" applyFill="1" applyBorder="1"/>
    <xf numFmtId="41" fontId="2" fillId="2" borderId="0" xfId="0" applyNumberFormat="1" applyFont="1" applyFill="1" applyBorder="1" applyAlignment="1">
      <alignment horizontal="right"/>
    </xf>
    <xf numFmtId="41" fontId="2" fillId="2" borderId="25" xfId="0" applyNumberFormat="1" applyFont="1" applyFill="1" applyBorder="1" applyAlignment="1">
      <alignment horizontal="right"/>
    </xf>
    <xf numFmtId="164" fontId="2" fillId="2" borderId="3" xfId="0" applyNumberFormat="1" applyFont="1" applyFill="1" applyBorder="1"/>
    <xf numFmtId="0" fontId="2" fillId="4" borderId="8" xfId="0" applyFont="1" applyFill="1" applyBorder="1"/>
    <xf numFmtId="0" fontId="2" fillId="4" borderId="2" xfId="0" applyFont="1" applyFill="1" applyBorder="1"/>
    <xf numFmtId="41" fontId="2" fillId="4" borderId="2" xfId="0" applyNumberFormat="1" applyFont="1" applyFill="1" applyBorder="1" applyAlignment="1">
      <alignment horizontal="right"/>
    </xf>
    <xf numFmtId="41" fontId="2" fillId="4" borderId="8" xfId="0" applyNumberFormat="1" applyFont="1" applyFill="1" applyBorder="1" applyAlignment="1">
      <alignment horizontal="right"/>
    </xf>
    <xf numFmtId="41" fontId="2" fillId="4" borderId="28" xfId="0" applyNumberFormat="1" applyFont="1" applyFill="1" applyBorder="1" applyAlignment="1">
      <alignment horizontal="right"/>
    </xf>
    <xf numFmtId="41" fontId="2" fillId="5" borderId="2" xfId="0" applyNumberFormat="1" applyFont="1" applyFill="1" applyBorder="1" applyAlignment="1">
      <alignment horizontal="right"/>
    </xf>
    <xf numFmtId="41" fontId="2" fillId="5" borderId="8" xfId="0" applyNumberFormat="1" applyFont="1" applyFill="1" applyBorder="1" applyAlignment="1">
      <alignment horizontal="right"/>
    </xf>
    <xf numFmtId="164" fontId="2" fillId="4" borderId="9" xfId="0" applyNumberFormat="1" applyFont="1" applyFill="1" applyBorder="1"/>
    <xf numFmtId="164" fontId="2" fillId="0" borderId="3" xfId="0" applyNumberFormat="1" applyFont="1" applyBorder="1"/>
    <xf numFmtId="41" fontId="2" fillId="0" borderId="0" xfId="0" applyNumberFormat="1" applyFont="1" applyBorder="1" applyAlignment="1">
      <alignment horizontal="right"/>
    </xf>
    <xf numFmtId="41" fontId="2" fillId="7" borderId="19" xfId="0" applyNumberFormat="1" applyFont="1" applyFill="1" applyBorder="1" applyAlignment="1">
      <alignment horizontal="right"/>
    </xf>
    <xf numFmtId="41" fontId="2" fillId="7" borderId="28" xfId="0" applyNumberFormat="1" applyFont="1" applyFill="1" applyBorder="1" applyAlignment="1">
      <alignment horizontal="right"/>
    </xf>
    <xf numFmtId="41" fontId="2" fillId="8" borderId="0" xfId="0" applyNumberFormat="1" applyFont="1" applyFill="1" applyBorder="1" applyAlignment="1">
      <alignment horizontal="right"/>
    </xf>
    <xf numFmtId="41" fontId="2" fillId="8" borderId="1" xfId="0" applyNumberFormat="1" applyFont="1" applyFill="1" applyBorder="1" applyAlignment="1">
      <alignment horizontal="right"/>
    </xf>
    <xf numFmtId="0" fontId="3" fillId="7" borderId="21" xfId="0" applyFont="1" applyFill="1" applyBorder="1"/>
    <xf numFmtId="0" fontId="3" fillId="7" borderId="19" xfId="0" applyFont="1" applyFill="1" applyBorder="1"/>
    <xf numFmtId="164" fontId="2" fillId="7" borderId="20" xfId="0" applyNumberFormat="1" applyFont="1" applyFill="1" applyBorder="1"/>
    <xf numFmtId="0" fontId="2" fillId="7" borderId="8" xfId="0" applyFont="1" applyFill="1" applyBorder="1"/>
    <xf numFmtId="0" fontId="2" fillId="7" borderId="2" xfId="0" applyFont="1" applyFill="1" applyBorder="1"/>
    <xf numFmtId="41" fontId="2" fillId="7" borderId="2" xfId="0" applyNumberFormat="1" applyFont="1" applyFill="1" applyBorder="1" applyAlignment="1">
      <alignment horizontal="right"/>
    </xf>
    <xf numFmtId="41" fontId="2" fillId="7" borderId="2" xfId="0" applyNumberFormat="1" applyFont="1" applyFill="1" applyBorder="1" applyAlignment="1"/>
    <xf numFmtId="41" fontId="2" fillId="7" borderId="8" xfId="0" applyNumberFormat="1" applyFont="1" applyFill="1" applyBorder="1" applyAlignment="1">
      <alignment horizontal="right"/>
    </xf>
    <xf numFmtId="41" fontId="2" fillId="7" borderId="28" xfId="0" applyNumberFormat="1" applyFont="1" applyFill="1" applyBorder="1" applyAlignment="1"/>
    <xf numFmtId="41" fontId="2" fillId="8" borderId="2" xfId="0" applyNumberFormat="1" applyFont="1" applyFill="1" applyBorder="1" applyAlignment="1"/>
    <xf numFmtId="41" fontId="2" fillId="8" borderId="8" xfId="0" applyNumberFormat="1" applyFont="1" applyFill="1" applyBorder="1" applyAlignment="1"/>
    <xf numFmtId="164" fontId="2" fillId="7" borderId="9" xfId="4" applyNumberFormat="1" applyFont="1" applyFill="1" applyBorder="1"/>
    <xf numFmtId="0" fontId="2" fillId="0" borderId="0" xfId="0" applyFont="1" applyAlignment="1">
      <alignment horizontal="right"/>
    </xf>
    <xf numFmtId="0" fontId="1" fillId="0" borderId="0" xfId="0" applyFont="1" applyFill="1"/>
    <xf numFmtId="0" fontId="1" fillId="0" borderId="0" xfId="0" applyFont="1" applyFill="1" applyBorder="1" applyAlignment="1"/>
    <xf numFmtId="0" fontId="6" fillId="2" borderId="12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9" fontId="1" fillId="4" borderId="24" xfId="0" applyNumberFormat="1" applyFont="1" applyFill="1" applyBorder="1"/>
    <xf numFmtId="9" fontId="1" fillId="4" borderId="24" xfId="4" applyFont="1" applyFill="1" applyBorder="1"/>
    <xf numFmtId="0" fontId="18" fillId="0" borderId="0" xfId="0" applyFont="1" applyFill="1" applyBorder="1" applyAlignment="1">
      <alignment horizontal="center"/>
    </xf>
    <xf numFmtId="0" fontId="6" fillId="0" borderId="0" xfId="0" applyFont="1" applyBorder="1"/>
    <xf numFmtId="9" fontId="1" fillId="4" borderId="25" xfId="0" applyNumberFormat="1" applyFont="1" applyFill="1" applyBorder="1"/>
    <xf numFmtId="9" fontId="1" fillId="4" borderId="26" xfId="0" applyNumberFormat="1" applyFont="1" applyFill="1" applyBorder="1"/>
    <xf numFmtId="9" fontId="1" fillId="0" borderId="0" xfId="0" applyNumberFormat="1" applyFont="1"/>
    <xf numFmtId="0" fontId="19" fillId="0" borderId="0" xfId="0" applyFont="1" applyFill="1" applyBorder="1"/>
    <xf numFmtId="0" fontId="6" fillId="0" borderId="0" xfId="0" applyFont="1" applyFill="1" applyBorder="1"/>
    <xf numFmtId="0" fontId="14" fillId="2" borderId="0" xfId="0" applyFont="1" applyFill="1" applyBorder="1"/>
    <xf numFmtId="41" fontId="2" fillId="0" borderId="0" xfId="0" applyNumberFormat="1" applyFont="1" applyBorder="1"/>
    <xf numFmtId="164" fontId="2" fillId="0" borderId="0" xfId="0" applyNumberFormat="1" applyFont="1" applyBorder="1"/>
    <xf numFmtId="41" fontId="2" fillId="8" borderId="37" xfId="0" applyNumberFormat="1" applyFont="1" applyFill="1" applyBorder="1" applyAlignment="1">
      <alignment horizontal="right"/>
    </xf>
    <xf numFmtId="41" fontId="3" fillId="10" borderId="16" xfId="0" applyNumberFormat="1" applyFont="1" applyFill="1" applyBorder="1" applyAlignment="1">
      <alignment horizontal="right"/>
    </xf>
    <xf numFmtId="41" fontId="6" fillId="7" borderId="23" xfId="0" applyNumberFormat="1" applyFont="1" applyFill="1" applyBorder="1" applyAlignment="1">
      <alignment horizontal="left"/>
    </xf>
    <xf numFmtId="41" fontId="6" fillId="7" borderId="6" xfId="0" applyNumberFormat="1" applyFont="1" applyFill="1" applyBorder="1" applyAlignment="1">
      <alignment horizontal="left"/>
    </xf>
    <xf numFmtId="41" fontId="6" fillId="7" borderId="12" xfId="0" applyNumberFormat="1" applyFont="1" applyFill="1" applyBorder="1" applyAlignment="1">
      <alignment horizontal="left"/>
    </xf>
    <xf numFmtId="0" fontId="1" fillId="7" borderId="6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/>
    </xf>
    <xf numFmtId="164" fontId="1" fillId="7" borderId="10" xfId="0" applyNumberFormat="1" applyFont="1" applyFill="1" applyBorder="1" applyAlignment="1"/>
    <xf numFmtId="164" fontId="1" fillId="7" borderId="10" xfId="4" applyNumberFormat="1" applyFont="1" applyFill="1" applyBorder="1" applyAlignment="1"/>
    <xf numFmtId="0" fontId="1" fillId="7" borderId="1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164" fontId="1" fillId="7" borderId="30" xfId="0" applyNumberFormat="1" applyFont="1" applyFill="1" applyBorder="1" applyAlignment="1"/>
    <xf numFmtId="0" fontId="1" fillId="0" borderId="0" xfId="0" applyFont="1" applyBorder="1" applyAlignment="1"/>
    <xf numFmtId="0" fontId="3" fillId="7" borderId="37" xfId="0" applyFont="1" applyFill="1" applyBorder="1"/>
    <xf numFmtId="0" fontId="6" fillId="7" borderId="12" xfId="0" applyFont="1" applyFill="1" applyBorder="1" applyAlignment="1">
      <alignment horizontal="right"/>
    </xf>
    <xf numFmtId="0" fontId="6" fillId="7" borderId="5" xfId="0" applyFont="1" applyFill="1" applyBorder="1"/>
    <xf numFmtId="164" fontId="6" fillId="7" borderId="13" xfId="0" applyNumberFormat="1" applyFont="1" applyFill="1" applyBorder="1"/>
    <xf numFmtId="0" fontId="6" fillId="2" borderId="23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6" fillId="7" borderId="4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6" fillId="7" borderId="32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9" fontId="1" fillId="0" borderId="0" xfId="0" applyNumberFormat="1" applyFont="1" applyFill="1"/>
    <xf numFmtId="41" fontId="10" fillId="0" borderId="0" xfId="0" applyNumberFormat="1" applyFont="1" applyFill="1" applyBorder="1" applyAlignment="1">
      <alignment horizontal="left"/>
    </xf>
    <xf numFmtId="9" fontId="10" fillId="0" borderId="0" xfId="4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41" fontId="10" fillId="0" borderId="0" xfId="0" applyNumberFormat="1" applyFont="1" applyFill="1"/>
    <xf numFmtId="41" fontId="9" fillId="0" borderId="0" xfId="0" applyNumberFormat="1" applyFont="1" applyFill="1" applyBorder="1" applyAlignment="1">
      <alignment horizontal="left"/>
    </xf>
    <xf numFmtId="165" fontId="5" fillId="0" borderId="0" xfId="1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/>
  </cellXfs>
  <cellStyles count="5">
    <cellStyle name="Comma" xfId="1" builtinId="3"/>
    <cellStyle name="Normal" xfId="0" builtinId="0"/>
    <cellStyle name="Normal_D-7.0" xfId="2" xr:uid="{00000000-0005-0000-0000-000002000000}"/>
    <cellStyle name="Normal_Sheet1" xfId="3" xr:uid="{00000000-0005-0000-0000-000003000000}"/>
    <cellStyle name="Percent" xfId="4" builtinId="5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Times New Roman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Undergraduate Enrollment by County of Residence: 
2012, 2017,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2022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486610815439114"/>
          <c:y val="1.754374995929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07335663325177"/>
          <c:y val="0.14035127795846455"/>
          <c:w val="0.86016396748597479"/>
          <c:h val="0.6754405251751107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'D-7.0'!$AA$42</c:f>
              <c:strCache>
                <c:ptCount val="1"/>
                <c:pt idx="0">
                  <c:v>Eastern Shore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'D-7.0'!$AL$51:$AL$53</c:f>
              <c:numCache>
                <c:formatCode>General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('D-7.0'!$AD$42,'D-7.0'!$AF$42,'D-7.0'!$AH$42)</c:f>
              <c:numCache>
                <c:formatCode>0%</c:formatCode>
                <c:ptCount val="3"/>
                <c:pt idx="0">
                  <c:v>0.26577989710126743</c:v>
                </c:pt>
                <c:pt idx="1">
                  <c:v>0.2726461969677666</c:v>
                </c:pt>
                <c:pt idx="2">
                  <c:v>0.28080657206870802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2-4144-9303-F6EBFDCE2DF2}"/>
            </c:ext>
          </c:extLst>
        </c:ser>
        <c:ser>
          <c:idx val="1"/>
          <c:order val="1"/>
          <c:tx>
            <c:strRef>
              <c:f>'D-7.0'!$AA$43</c:f>
              <c:strCache>
                <c:ptCount val="1"/>
                <c:pt idx="0">
                  <c:v>Western Shore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'D-7.0'!$AL$51:$AL$53</c:f>
              <c:numCache>
                <c:formatCode>General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('D-7.0'!$AD$43,'D-7.0'!$AF$43,'D-7.0'!$AH$43)</c:f>
              <c:numCache>
                <c:formatCode>0%</c:formatCode>
                <c:ptCount val="3"/>
                <c:pt idx="0">
                  <c:v>0.59141673986698462</c:v>
                </c:pt>
                <c:pt idx="1">
                  <c:v>0.57064594215823672</c:v>
                </c:pt>
                <c:pt idx="2">
                  <c:v>0.52143390589992533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2-4144-9303-F6EBFDCE2DF2}"/>
            </c:ext>
          </c:extLst>
        </c:ser>
        <c:ser>
          <c:idx val="2"/>
          <c:order val="2"/>
          <c:tx>
            <c:strRef>
              <c:f>'D-7.0'!$X$46</c:f>
              <c:strCache>
                <c:ptCount val="1"/>
                <c:pt idx="0">
                  <c:v>Non-Maryland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'D-7.0'!$AL$51:$AL$53</c:f>
              <c:numCache>
                <c:formatCode>General</c:formatCode>
                <c:ptCount val="3"/>
                <c:pt idx="0">
                  <c:v>2012</c:v>
                </c:pt>
                <c:pt idx="1">
                  <c:v>2017</c:v>
                </c:pt>
                <c:pt idx="2">
                  <c:v>2022</c:v>
                </c:pt>
              </c:numCache>
            </c:numRef>
          </c:cat>
          <c:val>
            <c:numRef>
              <c:f>('D-7.0'!$AB$46,'D-7.0'!$AF$46,'D-7.0'!$AI$46)</c:f>
              <c:numCache>
                <c:formatCode>0%</c:formatCode>
                <c:ptCount val="3"/>
                <c:pt idx="0">
                  <c:v>0.14280336303174804</c:v>
                </c:pt>
                <c:pt idx="1">
                  <c:v>0.1481717416231367</c:v>
                </c:pt>
                <c:pt idx="2">
                  <c:v>0.15041075429424944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22-4144-9303-F6EBFDCE2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5318480"/>
        <c:axId val="135322400"/>
      </c:barChart>
      <c:catAx>
        <c:axId val="135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32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3224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318480"/>
        <c:crosses val="autoZero"/>
        <c:crossBetween val="between"/>
        <c:majorUnit val="0.2"/>
      </c:valAx>
      <c:spPr>
        <a:solidFill>
          <a:srgbClr val="FFFFFF"/>
        </a:solidFill>
        <a:ln w="3175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430955458925845"/>
          <c:y val="0.91520733605569771"/>
          <c:w val="0.5024398815819664"/>
          <c:h val="7.30997831226432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5" l="0.75" r="0.75" t="0.5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403411</xdr:colOff>
      <xdr:row>47</xdr:row>
      <xdr:rowOff>73959</xdr:rowOff>
    </xdr:from>
    <xdr:to>
      <xdr:col>34</xdr:col>
      <xdr:colOff>405090</xdr:colOff>
      <xdr:row>65</xdr:row>
      <xdr:rowOff>143996</xdr:rowOff>
    </xdr:to>
    <xdr:graphicFrame macro="">
      <xdr:nvGraphicFramePr>
        <xdr:cNvPr id="1086" name="Chart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11"/>
  <sheetViews>
    <sheetView tabSelected="1" zoomScale="85" zoomScaleNormal="85" zoomScaleSheetLayoutView="100" workbookViewId="0">
      <selection activeCell="C44" sqref="C44"/>
    </sheetView>
  </sheetViews>
  <sheetFormatPr defaultRowHeight="14.25" x14ac:dyDescent="0.2"/>
  <cols>
    <col min="1" max="1" width="9.140625" style="122"/>
    <col min="2" max="2" width="11.7109375" style="122" customWidth="1"/>
    <col min="3" max="3" width="10.140625" style="122" customWidth="1"/>
    <col min="4" max="4" width="9.140625" style="122" hidden="1" customWidth="1"/>
    <col min="5" max="5" width="1" style="122" hidden="1" customWidth="1"/>
    <col min="6" max="6" width="7.28515625" style="122" hidden="1" customWidth="1"/>
    <col min="7" max="7" width="11.28515625" style="1" hidden="1" customWidth="1"/>
    <col min="8" max="11" width="10.5703125" style="122" hidden="1" customWidth="1"/>
    <col min="12" max="12" width="10.5703125" style="126" hidden="1" customWidth="1"/>
    <col min="13" max="20" width="10.5703125" style="122" hidden="1" customWidth="1"/>
    <col min="21" max="21" width="8.85546875" style="122" hidden="1" customWidth="1"/>
    <col min="22" max="22" width="10.85546875" style="126" customWidth="1"/>
    <col min="23" max="23" width="12.140625" style="122" hidden="1" customWidth="1"/>
    <col min="24" max="24" width="12" style="122" hidden="1" customWidth="1"/>
    <col min="25" max="25" width="10" style="122" hidden="1" customWidth="1"/>
    <col min="26" max="26" width="12" style="122" hidden="1" customWidth="1"/>
    <col min="27" max="33" width="12" style="122" customWidth="1"/>
    <col min="34" max="34" width="12" style="126" customWidth="1"/>
    <col min="35" max="35" width="9.140625" style="122" customWidth="1"/>
    <col min="36" max="16384" width="9.140625" style="122"/>
  </cols>
  <sheetData>
    <row r="1" spans="1:39" ht="15.75" x14ac:dyDescent="0.25">
      <c r="A1" s="121" t="s">
        <v>0</v>
      </c>
      <c r="C1" s="123" t="s">
        <v>38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221"/>
      <c r="W1" s="124"/>
      <c r="X1" s="125"/>
    </row>
    <row r="2" spans="1:39" x14ac:dyDescent="0.2">
      <c r="A2" s="1"/>
      <c r="B2" s="1"/>
      <c r="C2" s="1"/>
      <c r="D2" s="1"/>
      <c r="E2" s="1"/>
      <c r="F2" s="37"/>
      <c r="H2" s="1"/>
      <c r="I2" s="1"/>
      <c r="J2" s="1"/>
      <c r="K2" s="1"/>
      <c r="L2" s="2"/>
      <c r="M2" s="1"/>
      <c r="N2" s="1"/>
      <c r="O2" s="1"/>
      <c r="P2" s="1"/>
      <c r="Q2" s="1"/>
      <c r="R2" s="1"/>
      <c r="S2" s="1"/>
      <c r="T2" s="1"/>
      <c r="U2" s="1"/>
      <c r="V2" s="2"/>
      <c r="W2" s="1"/>
      <c r="X2" s="1"/>
    </row>
    <row r="3" spans="1:39" x14ac:dyDescent="0.2">
      <c r="A3" s="45"/>
      <c r="B3" s="46"/>
      <c r="C3" s="46"/>
      <c r="D3" s="46"/>
      <c r="E3" s="46"/>
      <c r="F3" s="41"/>
      <c r="G3" s="41"/>
      <c r="H3" s="41"/>
      <c r="I3" s="41"/>
      <c r="J3" s="45"/>
      <c r="K3" s="14"/>
      <c r="L3" s="57"/>
      <c r="M3" s="14"/>
      <c r="N3" s="72"/>
      <c r="O3" s="127"/>
      <c r="P3" s="82"/>
      <c r="Q3" s="82"/>
      <c r="R3" s="88"/>
      <c r="S3" s="104"/>
      <c r="T3" s="104"/>
      <c r="U3" s="88"/>
      <c r="V3" s="104"/>
      <c r="W3" s="24"/>
      <c r="X3" s="64"/>
      <c r="Y3" s="24"/>
      <c r="Z3" s="24"/>
      <c r="AA3" s="24"/>
      <c r="AB3" s="24"/>
      <c r="AC3" s="24"/>
      <c r="AD3" s="24"/>
      <c r="AE3" s="24"/>
      <c r="AF3" s="32"/>
      <c r="AG3" s="128" t="s">
        <v>1</v>
      </c>
      <c r="AH3" s="128" t="s">
        <v>33</v>
      </c>
      <c r="AL3" s="126"/>
    </row>
    <row r="4" spans="1:39" ht="15" customHeight="1" x14ac:dyDescent="0.25">
      <c r="A4" s="129"/>
      <c r="B4" s="130" t="s">
        <v>2</v>
      </c>
      <c r="C4" s="131"/>
      <c r="D4" s="47">
        <v>1995</v>
      </c>
      <c r="E4" s="47">
        <v>1996</v>
      </c>
      <c r="F4" s="47"/>
      <c r="G4" s="47">
        <v>1997</v>
      </c>
      <c r="H4" s="47">
        <v>1998</v>
      </c>
      <c r="I4" s="47">
        <v>1999</v>
      </c>
      <c r="J4" s="52">
        <v>2000</v>
      </c>
      <c r="K4" s="12">
        <v>2001</v>
      </c>
      <c r="L4" s="58">
        <v>2002</v>
      </c>
      <c r="M4" s="13">
        <v>2003</v>
      </c>
      <c r="N4" s="73">
        <v>2004</v>
      </c>
      <c r="O4" s="77">
        <v>2005</v>
      </c>
      <c r="P4" s="83">
        <v>2006</v>
      </c>
      <c r="Q4" s="83">
        <v>2007</v>
      </c>
      <c r="R4" s="89">
        <v>2008</v>
      </c>
      <c r="S4" s="112">
        <v>2009</v>
      </c>
      <c r="T4" s="112">
        <v>2010</v>
      </c>
      <c r="U4" s="116">
        <v>2011</v>
      </c>
      <c r="V4" s="112">
        <v>2012</v>
      </c>
      <c r="W4" s="113">
        <v>2013</v>
      </c>
      <c r="X4" s="114">
        <v>2014</v>
      </c>
      <c r="Y4" s="113">
        <v>2015</v>
      </c>
      <c r="Z4" s="113">
        <v>2016</v>
      </c>
      <c r="AA4" s="113">
        <v>2017</v>
      </c>
      <c r="AB4" s="113">
        <v>2018</v>
      </c>
      <c r="AC4" s="113">
        <v>2019</v>
      </c>
      <c r="AD4" s="113">
        <v>2020</v>
      </c>
      <c r="AE4" s="113">
        <v>2021</v>
      </c>
      <c r="AF4" s="115">
        <v>2022</v>
      </c>
      <c r="AG4" s="132" t="s">
        <v>39</v>
      </c>
      <c r="AH4" s="132" t="s">
        <v>32</v>
      </c>
      <c r="AI4" s="22"/>
      <c r="AL4" s="126"/>
    </row>
    <row r="5" spans="1:39" ht="17.100000000000001" customHeight="1" x14ac:dyDescent="0.25">
      <c r="A5" s="45"/>
      <c r="B5" s="46"/>
      <c r="C5" s="46"/>
      <c r="D5" s="46"/>
      <c r="E5" s="38"/>
      <c r="F5" s="38"/>
      <c r="G5" s="46"/>
      <c r="H5" s="46"/>
      <c r="I5" s="46"/>
      <c r="J5" s="45"/>
      <c r="K5" s="55"/>
      <c r="L5" s="59"/>
      <c r="M5" s="6"/>
      <c r="N5" s="74"/>
      <c r="O5" s="133"/>
      <c r="P5" s="84"/>
      <c r="Q5" s="84"/>
      <c r="R5" s="90"/>
      <c r="S5" s="105"/>
      <c r="T5" s="105"/>
      <c r="U5" s="90"/>
      <c r="V5" s="222"/>
      <c r="W5" s="31"/>
      <c r="X5" s="65"/>
      <c r="Y5" s="31"/>
      <c r="Z5" s="31"/>
      <c r="AA5" s="31"/>
      <c r="AB5" s="31"/>
      <c r="AC5" s="31"/>
      <c r="AD5" s="31"/>
      <c r="AE5" s="31"/>
      <c r="AF5" s="33"/>
      <c r="AG5" s="64"/>
      <c r="AH5" s="43"/>
      <c r="AI5" s="22"/>
      <c r="AL5" s="134"/>
      <c r="AM5" s="135"/>
    </row>
    <row r="6" spans="1:39" ht="17.100000000000001" customHeight="1" x14ac:dyDescent="0.25">
      <c r="A6" s="136" t="s">
        <v>3</v>
      </c>
      <c r="B6" s="38"/>
      <c r="C6" s="137">
        <v>5336</v>
      </c>
      <c r="D6" s="39">
        <f t="shared" ref="D6:N6" si="0">SUM(D33:D37)</f>
        <v>5336</v>
      </c>
      <c r="E6" s="39">
        <f>SUM(E33:E37)</f>
        <v>5294</v>
      </c>
      <c r="F6" s="39"/>
      <c r="G6" s="39">
        <v>5391</v>
      </c>
      <c r="H6" s="39">
        <f t="shared" si="0"/>
        <v>5534</v>
      </c>
      <c r="I6" s="39">
        <f t="shared" si="0"/>
        <v>5536</v>
      </c>
      <c r="J6" s="53">
        <f t="shared" si="0"/>
        <v>5883</v>
      </c>
      <c r="K6" s="56">
        <f t="shared" si="0"/>
        <v>6060</v>
      </c>
      <c r="L6" s="60">
        <f t="shared" si="0"/>
        <v>6206</v>
      </c>
      <c r="M6" s="56">
        <f t="shared" si="0"/>
        <v>6199</v>
      </c>
      <c r="N6" s="75">
        <f t="shared" si="0"/>
        <v>6366</v>
      </c>
      <c r="O6" s="78">
        <f>SUM(O33:O37)</f>
        <v>6437</v>
      </c>
      <c r="P6" s="85">
        <f>+P37+P36+P34+P33</f>
        <v>6791</v>
      </c>
      <c r="Q6" s="85">
        <f>+Q37+Q36+Q34+Q33</f>
        <v>6941</v>
      </c>
      <c r="R6" s="91">
        <f>+R37+R36+R34+R33</f>
        <v>7281</v>
      </c>
      <c r="S6" s="106">
        <v>7557</v>
      </c>
      <c r="T6" s="106">
        <f>SUM(T33:T36)</f>
        <v>7706</v>
      </c>
      <c r="U6" s="91">
        <f t="shared" ref="U6:AB6" si="1">SUM(U33:U37)</f>
        <v>7891</v>
      </c>
      <c r="V6" s="106">
        <f t="shared" si="1"/>
        <v>7969</v>
      </c>
      <c r="W6" s="25">
        <f t="shared" si="1"/>
        <v>8004</v>
      </c>
      <c r="X6" s="25">
        <f t="shared" si="1"/>
        <v>7997</v>
      </c>
      <c r="Y6" s="25">
        <f t="shared" si="1"/>
        <v>7849</v>
      </c>
      <c r="Z6" s="25">
        <f t="shared" ref="Z6:AA6" si="2">SUM(Z33:Z37)</f>
        <v>7861</v>
      </c>
      <c r="AA6" s="25">
        <f t="shared" si="2"/>
        <v>7782</v>
      </c>
      <c r="AB6" s="25">
        <f t="shared" si="1"/>
        <v>7650</v>
      </c>
      <c r="AC6" s="25">
        <f>+AC33+AC34+AC35+AC36+AC37</f>
        <v>7686</v>
      </c>
      <c r="AD6" s="25">
        <f>+AD33+AD34+AD35+AD36+AD37</f>
        <v>7150</v>
      </c>
      <c r="AE6" s="25">
        <f>+AE33+AE34+AE35+AE36+AE37</f>
        <v>6695</v>
      </c>
      <c r="AF6" s="34">
        <f>+AF33+AF34+AF35+AF36+AF37</f>
        <v>6378</v>
      </c>
      <c r="AG6" s="138">
        <f>+(AF6-AA6)/AA6</f>
        <v>-0.18041634541249035</v>
      </c>
      <c r="AH6" s="44">
        <f>+AF6-V6</f>
        <v>-1591</v>
      </c>
      <c r="AI6" s="22"/>
      <c r="AL6" s="139"/>
      <c r="AM6" s="135"/>
    </row>
    <row r="7" spans="1:39" ht="17.100000000000001" customHeight="1" x14ac:dyDescent="0.25">
      <c r="A7" s="40"/>
      <c r="B7" s="41"/>
      <c r="C7" s="41"/>
      <c r="D7" s="42"/>
      <c r="E7" s="39"/>
      <c r="F7" s="39"/>
      <c r="G7" s="42"/>
      <c r="H7" s="42"/>
      <c r="I7" s="42"/>
      <c r="J7" s="140"/>
      <c r="K7" s="3"/>
      <c r="L7" s="61"/>
      <c r="M7" s="4"/>
      <c r="N7" s="75"/>
      <c r="O7" s="141"/>
      <c r="P7" s="85"/>
      <c r="Q7" s="85"/>
      <c r="R7" s="91"/>
      <c r="S7" s="106"/>
      <c r="T7" s="106"/>
      <c r="U7" s="91"/>
      <c r="V7" s="106"/>
      <c r="W7" s="25"/>
      <c r="X7" s="66"/>
      <c r="Y7" s="66"/>
      <c r="Z7" s="66"/>
      <c r="AA7" s="66"/>
      <c r="AB7" s="66"/>
      <c r="AC7" s="66"/>
      <c r="AD7" s="66"/>
      <c r="AE7" s="66"/>
      <c r="AF7" s="35"/>
      <c r="AG7" s="138"/>
      <c r="AH7" s="43"/>
      <c r="AI7" s="23"/>
    </row>
    <row r="8" spans="1:39" ht="17.100000000000001" customHeight="1" x14ac:dyDescent="0.25">
      <c r="A8" s="40" t="s">
        <v>4</v>
      </c>
      <c r="B8" s="41"/>
      <c r="C8" s="41"/>
      <c r="D8" s="42">
        <v>11</v>
      </c>
      <c r="E8" s="42">
        <v>10</v>
      </c>
      <c r="F8" s="42"/>
      <c r="G8" s="42">
        <v>9</v>
      </c>
      <c r="H8" s="42">
        <v>10</v>
      </c>
      <c r="I8" s="42">
        <v>7</v>
      </c>
      <c r="J8" s="140">
        <v>11</v>
      </c>
      <c r="K8" s="142">
        <v>9</v>
      </c>
      <c r="L8" s="143">
        <v>13</v>
      </c>
      <c r="M8" s="144">
        <v>11</v>
      </c>
      <c r="N8" s="145">
        <v>10</v>
      </c>
      <c r="O8" s="141">
        <v>10</v>
      </c>
      <c r="P8" s="146">
        <v>12</v>
      </c>
      <c r="Q8" s="146">
        <v>12</v>
      </c>
      <c r="R8" s="92">
        <v>12</v>
      </c>
      <c r="S8" s="107">
        <v>10</v>
      </c>
      <c r="T8" s="107">
        <v>11</v>
      </c>
      <c r="U8" s="92">
        <v>8</v>
      </c>
      <c r="V8" s="107">
        <v>8</v>
      </c>
      <c r="W8" s="28">
        <v>9</v>
      </c>
      <c r="X8" s="67">
        <v>13</v>
      </c>
      <c r="Y8" s="28">
        <v>13</v>
      </c>
      <c r="Z8" s="28">
        <v>11</v>
      </c>
      <c r="AA8" s="28">
        <v>13</v>
      </c>
      <c r="AB8" s="28">
        <v>10</v>
      </c>
      <c r="AC8" s="28">
        <v>9</v>
      </c>
      <c r="AD8" s="28">
        <v>4</v>
      </c>
      <c r="AE8" s="28">
        <v>5</v>
      </c>
      <c r="AF8" s="36">
        <v>5</v>
      </c>
      <c r="AG8" s="147">
        <f t="shared" ref="AG8:AG37" si="3">+(AF8-AA8)/AA8</f>
        <v>-0.61538461538461542</v>
      </c>
      <c r="AH8" s="44">
        <f t="shared" ref="AH8:AH37" si="4">+AF8-V8</f>
        <v>-3</v>
      </c>
      <c r="AI8" s="148"/>
      <c r="AJ8" s="148"/>
      <c r="AK8" s="139"/>
      <c r="AL8" s="102">
        <f>RANK(AF8,$AF$8:$AF$31)</f>
        <v>24</v>
      </c>
      <c r="AM8" s="103">
        <f>+AF8/$AF$33</f>
        <v>9.3092533978774903E-4</v>
      </c>
    </row>
    <row r="9" spans="1:39" ht="17.100000000000001" customHeight="1" x14ac:dyDescent="0.25">
      <c r="A9" s="149" t="s">
        <v>5</v>
      </c>
      <c r="B9" s="150"/>
      <c r="C9" s="150"/>
      <c r="D9" s="151">
        <v>407</v>
      </c>
      <c r="E9" s="151">
        <v>405</v>
      </c>
      <c r="F9" s="151"/>
      <c r="G9" s="151">
        <v>393</v>
      </c>
      <c r="H9" s="151">
        <v>438</v>
      </c>
      <c r="I9" s="151">
        <v>434</v>
      </c>
      <c r="J9" s="152">
        <v>456</v>
      </c>
      <c r="K9" s="151">
        <v>497</v>
      </c>
      <c r="L9" s="153">
        <v>526</v>
      </c>
      <c r="M9" s="154">
        <v>511</v>
      </c>
      <c r="N9" s="155">
        <v>563</v>
      </c>
      <c r="O9" s="153">
        <v>602</v>
      </c>
      <c r="P9" s="108">
        <f>588+24</f>
        <v>612</v>
      </c>
      <c r="Q9" s="108">
        <v>604</v>
      </c>
      <c r="R9" s="93">
        <v>598</v>
      </c>
      <c r="S9" s="108">
        <v>619</v>
      </c>
      <c r="T9" s="108">
        <v>622</v>
      </c>
      <c r="U9" s="93">
        <v>623</v>
      </c>
      <c r="V9" s="108">
        <v>596</v>
      </c>
      <c r="W9" s="29">
        <v>587</v>
      </c>
      <c r="X9" s="68">
        <v>603</v>
      </c>
      <c r="Y9" s="80">
        <v>603</v>
      </c>
      <c r="Z9" s="80">
        <v>627</v>
      </c>
      <c r="AA9" s="80">
        <v>658</v>
      </c>
      <c r="AB9" s="80">
        <v>687</v>
      </c>
      <c r="AC9" s="80">
        <v>699</v>
      </c>
      <c r="AD9" s="80">
        <v>668</v>
      </c>
      <c r="AE9" s="80">
        <v>608</v>
      </c>
      <c r="AF9" s="36">
        <v>580</v>
      </c>
      <c r="AG9" s="156">
        <f t="shared" si="3"/>
        <v>-0.11854103343465046</v>
      </c>
      <c r="AH9" s="20">
        <f t="shared" si="4"/>
        <v>-16</v>
      </c>
      <c r="AI9" s="148"/>
      <c r="AJ9" s="148"/>
      <c r="AK9" s="139"/>
      <c r="AL9" s="102">
        <f t="shared" ref="AL9:AL32" si="5">RANK(AF9,$AF$8:$AF$31)</f>
        <v>2</v>
      </c>
      <c r="AM9" s="103">
        <f t="shared" ref="AM9:AM32" si="6">+AF9/$AF$33</f>
        <v>0.10798733941537889</v>
      </c>
    </row>
    <row r="10" spans="1:39" ht="17.100000000000001" customHeight="1" x14ac:dyDescent="0.25">
      <c r="A10" s="157" t="s">
        <v>6</v>
      </c>
      <c r="B10" s="158"/>
      <c r="C10" s="158"/>
      <c r="D10" s="159">
        <v>281</v>
      </c>
      <c r="E10" s="159">
        <v>300</v>
      </c>
      <c r="F10" s="159"/>
      <c r="G10" s="159">
        <v>334</v>
      </c>
      <c r="H10" s="159">
        <v>366</v>
      </c>
      <c r="I10" s="159">
        <v>385</v>
      </c>
      <c r="J10" s="140">
        <v>426</v>
      </c>
      <c r="K10" s="159">
        <v>431</v>
      </c>
      <c r="L10" s="160">
        <v>431</v>
      </c>
      <c r="M10" s="144">
        <v>444</v>
      </c>
      <c r="N10" s="145">
        <v>468</v>
      </c>
      <c r="O10" s="143">
        <v>480</v>
      </c>
      <c r="P10" s="146">
        <f>488+25</f>
        <v>513</v>
      </c>
      <c r="Q10" s="146">
        <v>529</v>
      </c>
      <c r="R10" s="92">
        <v>561</v>
      </c>
      <c r="S10" s="107">
        <v>587</v>
      </c>
      <c r="T10" s="107">
        <v>580</v>
      </c>
      <c r="U10" s="92">
        <v>597</v>
      </c>
      <c r="V10" s="107">
        <v>579</v>
      </c>
      <c r="W10" s="28">
        <v>577</v>
      </c>
      <c r="X10" s="67">
        <v>563</v>
      </c>
      <c r="Y10" s="28">
        <v>545</v>
      </c>
      <c r="Z10" s="28">
        <v>545</v>
      </c>
      <c r="AA10" s="28">
        <v>557</v>
      </c>
      <c r="AB10" s="28">
        <v>552</v>
      </c>
      <c r="AC10" s="28">
        <v>544</v>
      </c>
      <c r="AD10" s="28">
        <v>520</v>
      </c>
      <c r="AE10" s="28">
        <v>498</v>
      </c>
      <c r="AF10" s="36">
        <v>456</v>
      </c>
      <c r="AG10" s="161">
        <f t="shared" si="3"/>
        <v>-0.18132854578096949</v>
      </c>
      <c r="AH10" s="19">
        <f t="shared" si="4"/>
        <v>-123</v>
      </c>
      <c r="AI10" s="148"/>
      <c r="AJ10" s="148"/>
      <c r="AK10" s="139"/>
      <c r="AL10" s="102">
        <f t="shared" si="5"/>
        <v>4</v>
      </c>
      <c r="AM10" s="103">
        <f t="shared" si="6"/>
        <v>8.4900390988642715E-2</v>
      </c>
    </row>
    <row r="11" spans="1:39" ht="17.100000000000001" customHeight="1" x14ac:dyDescent="0.25">
      <c r="A11" s="149" t="s">
        <v>7</v>
      </c>
      <c r="B11" s="150"/>
      <c r="C11" s="150"/>
      <c r="D11" s="151">
        <v>13</v>
      </c>
      <c r="E11" s="151">
        <v>15</v>
      </c>
      <c r="F11" s="151"/>
      <c r="G11" s="151">
        <v>17</v>
      </c>
      <c r="H11" s="151">
        <v>22</v>
      </c>
      <c r="I11" s="151">
        <v>22</v>
      </c>
      <c r="J11" s="152">
        <v>19</v>
      </c>
      <c r="K11" s="151">
        <v>23</v>
      </c>
      <c r="L11" s="153">
        <v>20</v>
      </c>
      <c r="M11" s="154">
        <v>29</v>
      </c>
      <c r="N11" s="155">
        <v>50</v>
      </c>
      <c r="O11" s="153">
        <v>48</v>
      </c>
      <c r="P11" s="108">
        <f>47+2</f>
        <v>49</v>
      </c>
      <c r="Q11" s="108">
        <v>68</v>
      </c>
      <c r="R11" s="93">
        <v>73</v>
      </c>
      <c r="S11" s="108">
        <v>63</v>
      </c>
      <c r="T11" s="108">
        <v>78</v>
      </c>
      <c r="U11" s="93">
        <v>60</v>
      </c>
      <c r="V11" s="108">
        <v>59</v>
      </c>
      <c r="W11" s="29">
        <v>50</v>
      </c>
      <c r="X11" s="68">
        <v>47</v>
      </c>
      <c r="Y11" s="80">
        <v>49</v>
      </c>
      <c r="Z11" s="80">
        <v>67</v>
      </c>
      <c r="AA11" s="80">
        <v>90</v>
      </c>
      <c r="AB11" s="80">
        <v>87</v>
      </c>
      <c r="AC11" s="80">
        <v>73</v>
      </c>
      <c r="AD11" s="80">
        <v>60</v>
      </c>
      <c r="AE11" s="80">
        <v>64</v>
      </c>
      <c r="AF11" s="36">
        <v>89</v>
      </c>
      <c r="AG11" s="156">
        <f t="shared" si="3"/>
        <v>-1.1111111111111112E-2</v>
      </c>
      <c r="AH11" s="20">
        <f t="shared" si="4"/>
        <v>30</v>
      </c>
      <c r="AI11" s="148"/>
      <c r="AJ11" s="148"/>
      <c r="AK11" s="139"/>
      <c r="AL11" s="102">
        <f t="shared" si="5"/>
        <v>20</v>
      </c>
      <c r="AM11" s="103">
        <f t="shared" si="6"/>
        <v>1.6570471048221933E-2</v>
      </c>
    </row>
    <row r="12" spans="1:39" ht="17.100000000000001" customHeight="1" x14ac:dyDescent="0.25">
      <c r="A12" s="157" t="s">
        <v>8</v>
      </c>
      <c r="B12" s="158"/>
      <c r="C12" s="158"/>
      <c r="D12" s="159">
        <v>69</v>
      </c>
      <c r="E12" s="159">
        <v>68</v>
      </c>
      <c r="F12" s="159"/>
      <c r="G12" s="171">
        <v>69</v>
      </c>
      <c r="H12" s="171">
        <v>66</v>
      </c>
      <c r="I12" s="159">
        <v>73</v>
      </c>
      <c r="J12" s="140">
        <v>83</v>
      </c>
      <c r="K12" s="159">
        <v>103</v>
      </c>
      <c r="L12" s="160">
        <v>121</v>
      </c>
      <c r="M12" s="144">
        <v>132</v>
      </c>
      <c r="N12" s="145">
        <v>166</v>
      </c>
      <c r="O12" s="143">
        <v>175</v>
      </c>
      <c r="P12" s="146">
        <f>150+7</f>
        <v>157</v>
      </c>
      <c r="Q12" s="146">
        <v>170</v>
      </c>
      <c r="R12" s="92">
        <v>165</v>
      </c>
      <c r="S12" s="107">
        <v>166</v>
      </c>
      <c r="T12" s="107">
        <v>179</v>
      </c>
      <c r="U12" s="92">
        <v>231</v>
      </c>
      <c r="V12" s="107">
        <v>235</v>
      </c>
      <c r="W12" s="28">
        <v>231</v>
      </c>
      <c r="X12" s="67">
        <v>242</v>
      </c>
      <c r="Y12" s="28">
        <v>234</v>
      </c>
      <c r="Z12" s="28">
        <v>219</v>
      </c>
      <c r="AA12" s="28">
        <v>228</v>
      </c>
      <c r="AB12" s="28">
        <v>232</v>
      </c>
      <c r="AC12" s="28">
        <v>215</v>
      </c>
      <c r="AD12" s="28">
        <v>212</v>
      </c>
      <c r="AE12" s="28">
        <v>190</v>
      </c>
      <c r="AF12" s="36">
        <v>170</v>
      </c>
      <c r="AG12" s="170">
        <f t="shared" si="3"/>
        <v>-0.25438596491228072</v>
      </c>
      <c r="AH12" s="19">
        <f t="shared" si="4"/>
        <v>-65</v>
      </c>
      <c r="AI12" s="148"/>
      <c r="AJ12" s="148"/>
      <c r="AK12" s="139"/>
      <c r="AL12" s="102">
        <f t="shared" si="5"/>
        <v>11</v>
      </c>
      <c r="AM12" s="103">
        <f t="shared" si="6"/>
        <v>3.1651461552783464E-2</v>
      </c>
    </row>
    <row r="13" spans="1:39" ht="17.100000000000001" customHeight="1" x14ac:dyDescent="0.25">
      <c r="A13" s="149" t="s">
        <v>40</v>
      </c>
      <c r="B13" s="150"/>
      <c r="C13" s="150"/>
      <c r="D13" s="151">
        <v>99</v>
      </c>
      <c r="E13" s="151">
        <v>88</v>
      </c>
      <c r="F13" s="151"/>
      <c r="G13" s="151">
        <v>82</v>
      </c>
      <c r="H13" s="151">
        <v>68</v>
      </c>
      <c r="I13" s="151">
        <v>80</v>
      </c>
      <c r="J13" s="152">
        <v>95</v>
      </c>
      <c r="K13" s="151">
        <v>92</v>
      </c>
      <c r="L13" s="153">
        <v>96</v>
      </c>
      <c r="M13" s="154">
        <v>88</v>
      </c>
      <c r="N13" s="155">
        <v>89</v>
      </c>
      <c r="O13" s="153">
        <v>110</v>
      </c>
      <c r="P13" s="108">
        <f>97+11</f>
        <v>108</v>
      </c>
      <c r="Q13" s="108">
        <v>116</v>
      </c>
      <c r="R13" s="93">
        <v>122</v>
      </c>
      <c r="S13" s="108">
        <v>125</v>
      </c>
      <c r="T13" s="108">
        <v>127</v>
      </c>
      <c r="U13" s="93">
        <v>139</v>
      </c>
      <c r="V13" s="108">
        <v>137</v>
      </c>
      <c r="W13" s="29">
        <v>141</v>
      </c>
      <c r="X13" s="68">
        <v>125</v>
      </c>
      <c r="Y13" s="80">
        <v>126</v>
      </c>
      <c r="Z13" s="80">
        <v>125</v>
      </c>
      <c r="AA13" s="80">
        <v>127</v>
      </c>
      <c r="AB13" s="80">
        <v>128</v>
      </c>
      <c r="AC13" s="80">
        <v>127</v>
      </c>
      <c r="AD13" s="80">
        <v>130</v>
      </c>
      <c r="AE13" s="80">
        <v>126</v>
      </c>
      <c r="AF13" s="36">
        <v>110</v>
      </c>
      <c r="AG13" s="156">
        <f t="shared" si="3"/>
        <v>-0.13385826771653545</v>
      </c>
      <c r="AH13" s="20">
        <f t="shared" si="4"/>
        <v>-27</v>
      </c>
      <c r="AI13" s="148"/>
      <c r="AJ13" s="148"/>
      <c r="AK13" s="139"/>
      <c r="AL13" s="102">
        <f t="shared" si="5"/>
        <v>17</v>
      </c>
      <c r="AM13" s="103">
        <f>+AF13/$AF$33</f>
        <v>2.0480357475330477E-2</v>
      </c>
    </row>
    <row r="14" spans="1:39" ht="17.100000000000001" customHeight="1" x14ac:dyDescent="0.25">
      <c r="A14" s="157" t="s">
        <v>9</v>
      </c>
      <c r="B14" s="158"/>
      <c r="C14" s="158"/>
      <c r="D14" s="159">
        <v>109</v>
      </c>
      <c r="E14" s="159">
        <v>113</v>
      </c>
      <c r="F14" s="159"/>
      <c r="G14" s="159">
        <v>127</v>
      </c>
      <c r="H14" s="159">
        <v>126</v>
      </c>
      <c r="I14" s="159">
        <v>164</v>
      </c>
      <c r="J14" s="140">
        <v>185</v>
      </c>
      <c r="K14" s="159">
        <v>190</v>
      </c>
      <c r="L14" s="160">
        <v>184</v>
      </c>
      <c r="M14" s="144">
        <v>191</v>
      </c>
      <c r="N14" s="145">
        <v>191</v>
      </c>
      <c r="O14" s="143">
        <v>200</v>
      </c>
      <c r="P14" s="146">
        <f>236+10</f>
        <v>246</v>
      </c>
      <c r="Q14" s="146">
        <v>259</v>
      </c>
      <c r="R14" s="92">
        <v>276</v>
      </c>
      <c r="S14" s="107">
        <v>286</v>
      </c>
      <c r="T14" s="107">
        <v>277</v>
      </c>
      <c r="U14" s="92">
        <v>278</v>
      </c>
      <c r="V14" s="107">
        <v>259</v>
      </c>
      <c r="W14" s="28">
        <v>260</v>
      </c>
      <c r="X14" s="67">
        <v>254</v>
      </c>
      <c r="Y14" s="28">
        <v>249</v>
      </c>
      <c r="Z14" s="28">
        <v>260</v>
      </c>
      <c r="AA14" s="28">
        <v>270</v>
      </c>
      <c r="AB14" s="28">
        <v>292</v>
      </c>
      <c r="AC14" s="28">
        <v>283</v>
      </c>
      <c r="AD14" s="28">
        <v>266</v>
      </c>
      <c r="AE14" s="28">
        <v>250</v>
      </c>
      <c r="AF14" s="36">
        <v>240</v>
      </c>
      <c r="AG14" s="161">
        <f t="shared" si="3"/>
        <v>-0.1111111111111111</v>
      </c>
      <c r="AH14" s="19">
        <f t="shared" si="4"/>
        <v>-19</v>
      </c>
      <c r="AI14" s="148"/>
      <c r="AJ14" s="148"/>
      <c r="AK14" s="139"/>
      <c r="AL14" s="102">
        <f t="shared" si="5"/>
        <v>9</v>
      </c>
      <c r="AM14" s="103">
        <f t="shared" si="6"/>
        <v>4.4684416309811952E-2</v>
      </c>
    </row>
    <row r="15" spans="1:39" ht="17.100000000000001" customHeight="1" x14ac:dyDescent="0.25">
      <c r="A15" s="150" t="s">
        <v>41</v>
      </c>
      <c r="B15" s="150"/>
      <c r="C15" s="150"/>
      <c r="D15" s="151">
        <v>85</v>
      </c>
      <c r="E15" s="151">
        <v>89</v>
      </c>
      <c r="F15" s="151"/>
      <c r="G15" s="151">
        <v>84</v>
      </c>
      <c r="H15" s="151">
        <v>98</v>
      </c>
      <c r="I15" s="151">
        <v>93</v>
      </c>
      <c r="J15" s="152">
        <v>106</v>
      </c>
      <c r="K15" s="151">
        <v>125</v>
      </c>
      <c r="L15" s="153">
        <v>140</v>
      </c>
      <c r="M15" s="154">
        <v>132</v>
      </c>
      <c r="N15" s="155">
        <v>132</v>
      </c>
      <c r="O15" s="153">
        <v>123</v>
      </c>
      <c r="P15" s="108">
        <f>122+4</f>
        <v>126</v>
      </c>
      <c r="Q15" s="108">
        <v>143</v>
      </c>
      <c r="R15" s="93">
        <v>143</v>
      </c>
      <c r="S15" s="108">
        <v>162</v>
      </c>
      <c r="T15" s="108">
        <v>161</v>
      </c>
      <c r="U15" s="93">
        <v>171</v>
      </c>
      <c r="V15" s="108">
        <v>169</v>
      </c>
      <c r="W15" s="29">
        <v>174</v>
      </c>
      <c r="X15" s="68">
        <v>142</v>
      </c>
      <c r="Y15" s="80">
        <v>139</v>
      </c>
      <c r="Z15" s="80">
        <v>147</v>
      </c>
      <c r="AA15" s="80">
        <v>147</v>
      </c>
      <c r="AB15" s="80">
        <v>135</v>
      </c>
      <c r="AC15" s="80">
        <v>143</v>
      </c>
      <c r="AD15" s="80">
        <v>146</v>
      </c>
      <c r="AE15" s="80">
        <v>158</v>
      </c>
      <c r="AF15" s="36">
        <v>152</v>
      </c>
      <c r="AG15" s="156">
        <f t="shared" si="3"/>
        <v>3.4013605442176874E-2</v>
      </c>
      <c r="AH15" s="20">
        <f t="shared" si="4"/>
        <v>-17</v>
      </c>
      <c r="AI15" s="148"/>
      <c r="AJ15" s="148"/>
      <c r="AK15" s="139"/>
      <c r="AL15" s="102">
        <f t="shared" si="5"/>
        <v>13</v>
      </c>
      <c r="AM15" s="103">
        <f t="shared" si="6"/>
        <v>2.830013032954757E-2</v>
      </c>
    </row>
    <row r="16" spans="1:39" ht="17.100000000000001" customHeight="1" x14ac:dyDescent="0.25">
      <c r="A16" s="157" t="s">
        <v>10</v>
      </c>
      <c r="B16" s="158"/>
      <c r="C16" s="158"/>
      <c r="D16" s="159">
        <v>102</v>
      </c>
      <c r="E16" s="159">
        <v>104</v>
      </c>
      <c r="F16" s="159"/>
      <c r="G16" s="171">
        <v>98</v>
      </c>
      <c r="H16" s="171">
        <v>100</v>
      </c>
      <c r="I16" s="159">
        <v>103</v>
      </c>
      <c r="J16" s="140">
        <v>112</v>
      </c>
      <c r="K16" s="159">
        <v>107</v>
      </c>
      <c r="L16" s="160">
        <v>117</v>
      </c>
      <c r="M16" s="144">
        <v>116</v>
      </c>
      <c r="N16" s="145">
        <v>127</v>
      </c>
      <c r="O16" s="143">
        <v>125</v>
      </c>
      <c r="P16" s="146">
        <f>115+9</f>
        <v>124</v>
      </c>
      <c r="Q16" s="146">
        <v>135</v>
      </c>
      <c r="R16" s="92">
        <v>160</v>
      </c>
      <c r="S16" s="107">
        <v>149</v>
      </c>
      <c r="T16" s="107">
        <v>184</v>
      </c>
      <c r="U16" s="92">
        <v>214</v>
      </c>
      <c r="V16" s="107">
        <v>218</v>
      </c>
      <c r="W16" s="28">
        <v>201</v>
      </c>
      <c r="X16" s="67">
        <v>223</v>
      </c>
      <c r="Y16" s="28">
        <v>219</v>
      </c>
      <c r="Z16" s="28">
        <v>198</v>
      </c>
      <c r="AA16" s="28">
        <v>165</v>
      </c>
      <c r="AB16" s="28">
        <v>158</v>
      </c>
      <c r="AC16" s="28">
        <v>184</v>
      </c>
      <c r="AD16" s="28">
        <v>164</v>
      </c>
      <c r="AE16" s="28">
        <v>130</v>
      </c>
      <c r="AF16" s="36">
        <v>115</v>
      </c>
      <c r="AG16" s="170">
        <f t="shared" si="3"/>
        <v>-0.30303030303030304</v>
      </c>
      <c r="AH16" s="19">
        <f t="shared" si="4"/>
        <v>-103</v>
      </c>
      <c r="AI16" s="148"/>
      <c r="AJ16" s="148"/>
      <c r="AK16" s="139"/>
      <c r="AL16" s="102">
        <f t="shared" si="5"/>
        <v>14</v>
      </c>
      <c r="AM16" s="103">
        <f t="shared" si="6"/>
        <v>2.1411282815118227E-2</v>
      </c>
    </row>
    <row r="17" spans="1:39" ht="17.100000000000001" customHeight="1" x14ac:dyDescent="0.25">
      <c r="A17" s="149" t="s">
        <v>42</v>
      </c>
      <c r="B17" s="150"/>
      <c r="C17" s="150"/>
      <c r="D17" s="151">
        <v>137</v>
      </c>
      <c r="E17" s="151">
        <v>130</v>
      </c>
      <c r="F17" s="151"/>
      <c r="G17" s="151">
        <v>145</v>
      </c>
      <c r="H17" s="151">
        <v>128</v>
      </c>
      <c r="I17" s="151">
        <v>132</v>
      </c>
      <c r="J17" s="152">
        <v>155</v>
      </c>
      <c r="K17" s="151">
        <v>142</v>
      </c>
      <c r="L17" s="153">
        <v>132</v>
      </c>
      <c r="M17" s="154">
        <v>121</v>
      </c>
      <c r="N17" s="155">
        <v>120</v>
      </c>
      <c r="O17" s="153">
        <v>118</v>
      </c>
      <c r="P17" s="108">
        <f>99+25</f>
        <v>124</v>
      </c>
      <c r="Q17" s="108">
        <v>131</v>
      </c>
      <c r="R17" s="93">
        <v>132</v>
      </c>
      <c r="S17" s="108">
        <v>146</v>
      </c>
      <c r="T17" s="108">
        <v>160</v>
      </c>
      <c r="U17" s="93">
        <v>167</v>
      </c>
      <c r="V17" s="108">
        <v>161</v>
      </c>
      <c r="W17" s="29">
        <v>147</v>
      </c>
      <c r="X17" s="68">
        <v>131</v>
      </c>
      <c r="Y17" s="80">
        <v>131</v>
      </c>
      <c r="Z17" s="80">
        <v>131</v>
      </c>
      <c r="AA17" s="80">
        <v>111</v>
      </c>
      <c r="AB17" s="80">
        <v>118</v>
      </c>
      <c r="AC17" s="80">
        <v>114</v>
      </c>
      <c r="AD17" s="80">
        <v>111</v>
      </c>
      <c r="AE17" s="80">
        <v>112</v>
      </c>
      <c r="AF17" s="36">
        <v>115</v>
      </c>
      <c r="AG17" s="156">
        <f t="shared" si="3"/>
        <v>3.6036036036036036E-2</v>
      </c>
      <c r="AH17" s="20">
        <f t="shared" si="4"/>
        <v>-46</v>
      </c>
      <c r="AI17" s="148"/>
      <c r="AJ17" s="148"/>
      <c r="AK17" s="139"/>
      <c r="AL17" s="102">
        <f t="shared" si="5"/>
        <v>14</v>
      </c>
      <c r="AM17" s="103">
        <f t="shared" si="6"/>
        <v>2.1411282815118227E-2</v>
      </c>
    </row>
    <row r="18" spans="1:39" ht="17.100000000000001" customHeight="1" x14ac:dyDescent="0.25">
      <c r="A18" s="157" t="s">
        <v>11</v>
      </c>
      <c r="B18" s="158"/>
      <c r="C18" s="158"/>
      <c r="D18" s="159">
        <v>130</v>
      </c>
      <c r="E18" s="159">
        <v>150</v>
      </c>
      <c r="F18" s="159"/>
      <c r="G18" s="159">
        <v>163</v>
      </c>
      <c r="H18" s="159">
        <v>161</v>
      </c>
      <c r="I18" s="159">
        <v>179</v>
      </c>
      <c r="J18" s="140">
        <v>226</v>
      </c>
      <c r="K18" s="159">
        <v>244</v>
      </c>
      <c r="L18" s="160">
        <v>261</v>
      </c>
      <c r="M18" s="144">
        <v>261</v>
      </c>
      <c r="N18" s="145">
        <v>223</v>
      </c>
      <c r="O18" s="143">
        <v>248</v>
      </c>
      <c r="P18" s="146">
        <f>242+10</f>
        <v>252</v>
      </c>
      <c r="Q18" s="146">
        <v>274</v>
      </c>
      <c r="R18" s="92">
        <v>290</v>
      </c>
      <c r="S18" s="107">
        <v>321</v>
      </c>
      <c r="T18" s="107">
        <v>348</v>
      </c>
      <c r="U18" s="92">
        <v>369</v>
      </c>
      <c r="V18" s="107">
        <v>412</v>
      </c>
      <c r="W18" s="28">
        <v>426</v>
      </c>
      <c r="X18" s="67">
        <v>401</v>
      </c>
      <c r="Y18" s="28">
        <v>384</v>
      </c>
      <c r="Z18" s="28">
        <v>400</v>
      </c>
      <c r="AA18" s="28">
        <v>375</v>
      </c>
      <c r="AB18" s="28">
        <v>351</v>
      </c>
      <c r="AC18" s="28">
        <v>363</v>
      </c>
      <c r="AD18" s="28">
        <v>335</v>
      </c>
      <c r="AE18" s="28">
        <v>314</v>
      </c>
      <c r="AF18" s="36">
        <v>309</v>
      </c>
      <c r="AG18" s="161">
        <f t="shared" si="3"/>
        <v>-0.17599999999999999</v>
      </c>
      <c r="AH18" s="19">
        <f t="shared" si="4"/>
        <v>-103</v>
      </c>
      <c r="AI18" s="148"/>
      <c r="AJ18" s="148"/>
      <c r="AK18" s="139"/>
      <c r="AL18" s="102">
        <f t="shared" si="5"/>
        <v>6</v>
      </c>
      <c r="AM18" s="103">
        <f t="shared" si="6"/>
        <v>5.7531185998882892E-2</v>
      </c>
    </row>
    <row r="19" spans="1:39" ht="17.100000000000001" customHeight="1" x14ac:dyDescent="0.25">
      <c r="A19" s="149" t="s">
        <v>12</v>
      </c>
      <c r="B19" s="150"/>
      <c r="C19" s="150"/>
      <c r="D19" s="151">
        <v>8</v>
      </c>
      <c r="E19" s="151">
        <v>6</v>
      </c>
      <c r="F19" s="151"/>
      <c r="G19" s="171">
        <v>3</v>
      </c>
      <c r="H19" s="171">
        <v>7</v>
      </c>
      <c r="I19" s="151">
        <v>9</v>
      </c>
      <c r="J19" s="152">
        <v>8</v>
      </c>
      <c r="K19" s="151">
        <v>9</v>
      </c>
      <c r="L19" s="153">
        <v>8</v>
      </c>
      <c r="M19" s="154">
        <v>7</v>
      </c>
      <c r="N19" s="155">
        <v>8</v>
      </c>
      <c r="O19" s="153">
        <v>6</v>
      </c>
      <c r="P19" s="108">
        <v>6</v>
      </c>
      <c r="Q19" s="108">
        <v>6</v>
      </c>
      <c r="R19" s="93">
        <v>3</v>
      </c>
      <c r="S19" s="108">
        <v>4</v>
      </c>
      <c r="T19" s="108">
        <v>1</v>
      </c>
      <c r="U19" s="93">
        <v>2</v>
      </c>
      <c r="V19" s="108">
        <v>1</v>
      </c>
      <c r="W19" s="29">
        <v>1</v>
      </c>
      <c r="X19" s="68">
        <v>2</v>
      </c>
      <c r="Y19" s="80">
        <v>1</v>
      </c>
      <c r="Z19" s="80">
        <v>1</v>
      </c>
      <c r="AA19" s="80">
        <v>3</v>
      </c>
      <c r="AB19" s="80">
        <v>0</v>
      </c>
      <c r="AC19" s="80">
        <v>8</v>
      </c>
      <c r="AD19" s="80">
        <v>8</v>
      </c>
      <c r="AE19" s="80">
        <v>9</v>
      </c>
      <c r="AF19" s="36">
        <v>8</v>
      </c>
      <c r="AG19" s="156">
        <f t="shared" si="3"/>
        <v>1.6666666666666667</v>
      </c>
      <c r="AH19" s="20">
        <f t="shared" si="4"/>
        <v>7</v>
      </c>
      <c r="AI19" s="148"/>
      <c r="AJ19" s="148"/>
      <c r="AK19" s="139"/>
      <c r="AL19" s="102">
        <f t="shared" si="5"/>
        <v>23</v>
      </c>
      <c r="AM19" s="103">
        <f t="shared" si="6"/>
        <v>1.4894805436603984E-3</v>
      </c>
    </row>
    <row r="20" spans="1:39" ht="17.100000000000001" customHeight="1" x14ac:dyDescent="0.25">
      <c r="A20" s="157" t="s">
        <v>13</v>
      </c>
      <c r="B20" s="158"/>
      <c r="C20" s="158"/>
      <c r="D20" s="159">
        <v>210</v>
      </c>
      <c r="E20" s="159">
        <v>214</v>
      </c>
      <c r="F20" s="159"/>
      <c r="G20" s="159">
        <v>221</v>
      </c>
      <c r="H20" s="159">
        <v>249</v>
      </c>
      <c r="I20" s="159">
        <v>247</v>
      </c>
      <c r="J20" s="140">
        <v>256</v>
      </c>
      <c r="K20" s="159">
        <v>264</v>
      </c>
      <c r="L20" s="160">
        <v>254</v>
      </c>
      <c r="M20" s="144">
        <v>261</v>
      </c>
      <c r="N20" s="145">
        <v>301</v>
      </c>
      <c r="O20" s="143">
        <v>292</v>
      </c>
      <c r="P20" s="146">
        <f>325+11</f>
        <v>336</v>
      </c>
      <c r="Q20" s="146">
        <v>346</v>
      </c>
      <c r="R20" s="92">
        <v>396</v>
      </c>
      <c r="S20" s="107">
        <v>397</v>
      </c>
      <c r="T20" s="107">
        <v>394</v>
      </c>
      <c r="U20" s="92">
        <v>369</v>
      </c>
      <c r="V20" s="107">
        <v>337</v>
      </c>
      <c r="W20" s="28">
        <v>349</v>
      </c>
      <c r="X20" s="67">
        <v>334</v>
      </c>
      <c r="Y20" s="28">
        <v>327</v>
      </c>
      <c r="Z20" s="28">
        <v>353</v>
      </c>
      <c r="AA20" s="28">
        <v>342</v>
      </c>
      <c r="AB20" s="28">
        <v>346</v>
      </c>
      <c r="AC20" s="28">
        <v>363</v>
      </c>
      <c r="AD20" s="28">
        <v>325</v>
      </c>
      <c r="AE20" s="28">
        <v>322</v>
      </c>
      <c r="AF20" s="36">
        <v>298</v>
      </c>
      <c r="AG20" s="170">
        <f t="shared" si="3"/>
        <v>-0.12865497076023391</v>
      </c>
      <c r="AH20" s="19">
        <f t="shared" si="4"/>
        <v>-39</v>
      </c>
      <c r="AI20" s="148"/>
      <c r="AJ20" s="148"/>
      <c r="AK20" s="139"/>
      <c r="AL20" s="102">
        <f t="shared" si="5"/>
        <v>7</v>
      </c>
      <c r="AM20" s="103">
        <f>+AF20/$AF$33</f>
        <v>5.5483150251349839E-2</v>
      </c>
    </row>
    <row r="21" spans="1:39" ht="17.100000000000001" customHeight="1" x14ac:dyDescent="0.25">
      <c r="A21" s="149" t="s">
        <v>14</v>
      </c>
      <c r="B21" s="150"/>
      <c r="C21" s="150"/>
      <c r="D21" s="151">
        <v>158</v>
      </c>
      <c r="E21" s="151">
        <v>147</v>
      </c>
      <c r="F21" s="151"/>
      <c r="G21" s="159">
        <v>164</v>
      </c>
      <c r="H21" s="159">
        <v>182</v>
      </c>
      <c r="I21" s="151">
        <v>229</v>
      </c>
      <c r="J21" s="152">
        <v>263</v>
      </c>
      <c r="K21" s="151">
        <v>275</v>
      </c>
      <c r="L21" s="153">
        <v>284</v>
      </c>
      <c r="M21" s="154">
        <v>311</v>
      </c>
      <c r="N21" s="155">
        <v>330</v>
      </c>
      <c r="O21" s="153">
        <v>343</v>
      </c>
      <c r="P21" s="108">
        <f>353+17</f>
        <v>370</v>
      </c>
      <c r="Q21" s="108">
        <v>384</v>
      </c>
      <c r="R21" s="93">
        <v>438</v>
      </c>
      <c r="S21" s="108">
        <v>450</v>
      </c>
      <c r="T21" s="108">
        <v>472</v>
      </c>
      <c r="U21" s="93">
        <v>504</v>
      </c>
      <c r="V21" s="108">
        <v>519</v>
      </c>
      <c r="W21" s="29">
        <v>527</v>
      </c>
      <c r="X21" s="68">
        <v>511</v>
      </c>
      <c r="Y21" s="80">
        <v>469</v>
      </c>
      <c r="Z21" s="80">
        <v>462</v>
      </c>
      <c r="AA21" s="80">
        <v>424</v>
      </c>
      <c r="AB21" s="80">
        <v>387</v>
      </c>
      <c r="AC21" s="80">
        <v>377</v>
      </c>
      <c r="AD21" s="80">
        <v>342</v>
      </c>
      <c r="AE21" s="80">
        <v>301</v>
      </c>
      <c r="AF21" s="36">
        <v>260</v>
      </c>
      <c r="AG21" s="156">
        <f t="shared" si="3"/>
        <v>-0.3867924528301887</v>
      </c>
      <c r="AH21" s="20">
        <f t="shared" si="4"/>
        <v>-259</v>
      </c>
      <c r="AI21" s="148"/>
      <c r="AJ21" s="148"/>
      <c r="AK21" s="139"/>
      <c r="AL21" s="102">
        <f t="shared" si="5"/>
        <v>8</v>
      </c>
      <c r="AM21" s="103">
        <f t="shared" si="6"/>
        <v>4.8408117668962948E-2</v>
      </c>
    </row>
    <row r="22" spans="1:39" ht="17.100000000000001" customHeight="1" x14ac:dyDescent="0.25">
      <c r="A22" s="157" t="s">
        <v>43</v>
      </c>
      <c r="B22" s="158"/>
      <c r="C22" s="158"/>
      <c r="D22" s="159">
        <v>27</v>
      </c>
      <c r="E22" s="159">
        <v>23</v>
      </c>
      <c r="F22" s="159"/>
      <c r="G22" s="151">
        <v>23</v>
      </c>
      <c r="H22" s="151">
        <v>27</v>
      </c>
      <c r="I22" s="159">
        <v>21</v>
      </c>
      <c r="J22" s="140">
        <v>16</v>
      </c>
      <c r="K22" s="159">
        <v>14</v>
      </c>
      <c r="L22" s="160">
        <v>16</v>
      </c>
      <c r="M22" s="144">
        <v>27</v>
      </c>
      <c r="N22" s="145">
        <v>34</v>
      </c>
      <c r="O22" s="143">
        <v>42</v>
      </c>
      <c r="P22" s="146">
        <f>41+4</f>
        <v>45</v>
      </c>
      <c r="Q22" s="146">
        <v>38</v>
      </c>
      <c r="R22" s="92">
        <v>40</v>
      </c>
      <c r="S22" s="107">
        <v>37</v>
      </c>
      <c r="T22" s="107">
        <v>39</v>
      </c>
      <c r="U22" s="92">
        <v>35</v>
      </c>
      <c r="V22" s="107">
        <v>32</v>
      </c>
      <c r="W22" s="28">
        <v>33</v>
      </c>
      <c r="X22" s="67">
        <v>26</v>
      </c>
      <c r="Y22" s="28">
        <v>32</v>
      </c>
      <c r="Z22" s="28">
        <v>26</v>
      </c>
      <c r="AA22" s="28">
        <v>24</v>
      </c>
      <c r="AB22" s="28">
        <v>27</v>
      </c>
      <c r="AC22" s="28">
        <v>31</v>
      </c>
      <c r="AD22" s="28">
        <v>30</v>
      </c>
      <c r="AE22" s="28">
        <v>22</v>
      </c>
      <c r="AF22" s="36">
        <v>26</v>
      </c>
      <c r="AG22" s="161">
        <f t="shared" si="3"/>
        <v>8.3333333333333329E-2</v>
      </c>
      <c r="AH22" s="19">
        <f t="shared" si="4"/>
        <v>-6</v>
      </c>
      <c r="AI22" s="148"/>
      <c r="AJ22" s="148"/>
      <c r="AK22" s="139"/>
      <c r="AL22" s="102">
        <f>RANK(AF22,$AF$8:$AF$31)</f>
        <v>22</v>
      </c>
      <c r="AM22" s="103">
        <f t="shared" si="6"/>
        <v>4.8408117668962952E-3</v>
      </c>
    </row>
    <row r="23" spans="1:39" ht="17.100000000000001" customHeight="1" x14ac:dyDescent="0.25">
      <c r="A23" s="149" t="s">
        <v>15</v>
      </c>
      <c r="B23" s="150"/>
      <c r="C23" s="150"/>
      <c r="D23" s="151">
        <v>259</v>
      </c>
      <c r="E23" s="151">
        <v>249</v>
      </c>
      <c r="F23" s="151"/>
      <c r="G23" s="159">
        <v>231</v>
      </c>
      <c r="H23" s="159">
        <v>275</v>
      </c>
      <c r="I23" s="151">
        <v>305</v>
      </c>
      <c r="J23" s="152">
        <v>392</v>
      </c>
      <c r="K23" s="151">
        <v>469</v>
      </c>
      <c r="L23" s="153">
        <v>511</v>
      </c>
      <c r="M23" s="154">
        <v>547</v>
      </c>
      <c r="N23" s="155">
        <v>570</v>
      </c>
      <c r="O23" s="153">
        <v>607</v>
      </c>
      <c r="P23" s="108">
        <f>589+38</f>
        <v>627</v>
      </c>
      <c r="Q23" s="108">
        <v>664</v>
      </c>
      <c r="R23" s="93">
        <v>753</v>
      </c>
      <c r="S23" s="108">
        <v>843</v>
      </c>
      <c r="T23" s="108">
        <v>889</v>
      </c>
      <c r="U23" s="93">
        <v>873</v>
      </c>
      <c r="V23" s="108">
        <v>822</v>
      </c>
      <c r="W23" s="29">
        <v>796</v>
      </c>
      <c r="X23" s="68">
        <v>781</v>
      </c>
      <c r="Y23" s="80">
        <v>762</v>
      </c>
      <c r="Z23" s="80">
        <v>750</v>
      </c>
      <c r="AA23" s="80">
        <v>733</v>
      </c>
      <c r="AB23" s="80">
        <v>706</v>
      </c>
      <c r="AC23" s="80">
        <v>697</v>
      </c>
      <c r="AD23" s="80">
        <v>647</v>
      </c>
      <c r="AE23" s="80">
        <v>621</v>
      </c>
      <c r="AF23" s="36">
        <v>539</v>
      </c>
      <c r="AG23" s="156">
        <f t="shared" si="3"/>
        <v>-0.26466575716234653</v>
      </c>
      <c r="AH23" s="20">
        <f t="shared" si="4"/>
        <v>-283</v>
      </c>
      <c r="AI23" s="148"/>
      <c r="AJ23" s="148"/>
      <c r="AK23" s="139"/>
      <c r="AL23" s="102">
        <f t="shared" si="5"/>
        <v>3</v>
      </c>
      <c r="AM23" s="103">
        <f t="shared" si="6"/>
        <v>0.10035375162911934</v>
      </c>
    </row>
    <row r="24" spans="1:39" ht="17.100000000000001" customHeight="1" x14ac:dyDescent="0.25">
      <c r="A24" s="157" t="s">
        <v>16</v>
      </c>
      <c r="B24" s="158"/>
      <c r="C24" s="158"/>
      <c r="D24" s="159">
        <v>244</v>
      </c>
      <c r="E24" s="159">
        <v>255</v>
      </c>
      <c r="F24" s="159"/>
      <c r="G24" s="159">
        <v>263</v>
      </c>
      <c r="H24" s="159">
        <v>249</v>
      </c>
      <c r="I24" s="159">
        <v>228</v>
      </c>
      <c r="J24" s="140">
        <v>225</v>
      </c>
      <c r="K24" s="159">
        <v>253</v>
      </c>
      <c r="L24" s="160">
        <v>269</v>
      </c>
      <c r="M24" s="144">
        <v>278</v>
      </c>
      <c r="N24" s="145">
        <v>299</v>
      </c>
      <c r="O24" s="143">
        <v>326</v>
      </c>
      <c r="P24" s="146">
        <f>300+17</f>
        <v>317</v>
      </c>
      <c r="Q24" s="146">
        <v>324</v>
      </c>
      <c r="R24" s="92">
        <v>319</v>
      </c>
      <c r="S24" s="107">
        <v>342</v>
      </c>
      <c r="T24" s="107">
        <v>335</v>
      </c>
      <c r="U24" s="92">
        <v>320</v>
      </c>
      <c r="V24" s="107">
        <v>380</v>
      </c>
      <c r="W24" s="28">
        <v>360</v>
      </c>
      <c r="X24" s="67">
        <v>368</v>
      </c>
      <c r="Y24" s="28">
        <v>370</v>
      </c>
      <c r="Z24" s="28">
        <v>377</v>
      </c>
      <c r="AA24" s="28">
        <v>356</v>
      </c>
      <c r="AB24" s="28">
        <v>343</v>
      </c>
      <c r="AC24" s="28">
        <v>355</v>
      </c>
      <c r="AD24" s="28">
        <v>300</v>
      </c>
      <c r="AE24" s="28">
        <v>226</v>
      </c>
      <c r="AF24" s="36">
        <v>226</v>
      </c>
      <c r="AG24" s="170">
        <f t="shared" si="3"/>
        <v>-0.3651685393258427</v>
      </c>
      <c r="AH24" s="19">
        <f t="shared" si="4"/>
        <v>-154</v>
      </c>
      <c r="AI24" s="148"/>
      <c r="AJ24" s="148"/>
      <c r="AK24" s="139"/>
      <c r="AL24" s="102">
        <f t="shared" si="5"/>
        <v>10</v>
      </c>
      <c r="AM24" s="103">
        <f t="shared" si="6"/>
        <v>4.2077825358406255E-2</v>
      </c>
    </row>
    <row r="25" spans="1:39" ht="17.100000000000001" customHeight="1" x14ac:dyDescent="0.25">
      <c r="A25" s="149" t="s">
        <v>44</v>
      </c>
      <c r="B25" s="150"/>
      <c r="C25" s="150"/>
      <c r="D25" s="151">
        <v>73</v>
      </c>
      <c r="E25" s="151">
        <v>69</v>
      </c>
      <c r="F25" s="151"/>
      <c r="G25" s="151">
        <v>55</v>
      </c>
      <c r="H25" s="151">
        <v>58</v>
      </c>
      <c r="I25" s="151">
        <v>55</v>
      </c>
      <c r="J25" s="152">
        <v>64</v>
      </c>
      <c r="K25" s="151">
        <v>76</v>
      </c>
      <c r="L25" s="153">
        <v>89</v>
      </c>
      <c r="M25" s="154">
        <v>122</v>
      </c>
      <c r="N25" s="155">
        <v>118</v>
      </c>
      <c r="O25" s="153">
        <v>98</v>
      </c>
      <c r="P25" s="108">
        <f>95+5</f>
        <v>100</v>
      </c>
      <c r="Q25" s="108">
        <v>121</v>
      </c>
      <c r="R25" s="93">
        <v>143</v>
      </c>
      <c r="S25" s="108">
        <v>157</v>
      </c>
      <c r="T25" s="108">
        <v>154</v>
      </c>
      <c r="U25" s="93">
        <v>171</v>
      </c>
      <c r="V25" s="108">
        <v>186</v>
      </c>
      <c r="W25" s="29">
        <v>174</v>
      </c>
      <c r="X25" s="68">
        <v>191</v>
      </c>
      <c r="Y25" s="80">
        <v>186</v>
      </c>
      <c r="Z25" s="80">
        <v>166</v>
      </c>
      <c r="AA25" s="80">
        <v>183</v>
      </c>
      <c r="AB25" s="80">
        <v>196</v>
      </c>
      <c r="AC25" s="80">
        <v>200</v>
      </c>
      <c r="AD25" s="80">
        <v>201</v>
      </c>
      <c r="AE25" s="80">
        <v>168</v>
      </c>
      <c r="AF25" s="36">
        <v>157</v>
      </c>
      <c r="AG25" s="156">
        <f t="shared" si="3"/>
        <v>-0.14207650273224043</v>
      </c>
      <c r="AH25" s="20">
        <f t="shared" si="4"/>
        <v>-29</v>
      </c>
      <c r="AI25" s="148"/>
      <c r="AJ25" s="148"/>
      <c r="AK25" s="139"/>
      <c r="AL25" s="102">
        <f t="shared" si="5"/>
        <v>12</v>
      </c>
      <c r="AM25" s="103">
        <f t="shared" si="6"/>
        <v>2.9231055669335319E-2</v>
      </c>
    </row>
    <row r="26" spans="1:39" ht="17.100000000000001" customHeight="1" x14ac:dyDescent="0.25">
      <c r="A26" s="157" t="s">
        <v>17</v>
      </c>
      <c r="B26" s="158"/>
      <c r="C26" s="158"/>
      <c r="D26" s="159">
        <v>62</v>
      </c>
      <c r="E26" s="159">
        <v>69</v>
      </c>
      <c r="F26" s="159"/>
      <c r="G26" s="171">
        <v>68</v>
      </c>
      <c r="H26" s="171">
        <v>70</v>
      </c>
      <c r="I26" s="159">
        <v>94</v>
      </c>
      <c r="J26" s="140">
        <v>95</v>
      </c>
      <c r="K26" s="159">
        <v>114</v>
      </c>
      <c r="L26" s="160">
        <v>107</v>
      </c>
      <c r="M26" s="144">
        <v>86</v>
      </c>
      <c r="N26" s="145">
        <v>85</v>
      </c>
      <c r="O26" s="143">
        <v>78</v>
      </c>
      <c r="P26" s="146">
        <f>89+6</f>
        <v>95</v>
      </c>
      <c r="Q26" s="146">
        <v>100</v>
      </c>
      <c r="R26" s="92">
        <v>101</v>
      </c>
      <c r="S26" s="107">
        <v>94</v>
      </c>
      <c r="T26" s="107">
        <v>118</v>
      </c>
      <c r="U26" s="92">
        <v>150</v>
      </c>
      <c r="V26" s="107">
        <v>161</v>
      </c>
      <c r="W26" s="28">
        <v>157</v>
      </c>
      <c r="X26" s="67">
        <v>148</v>
      </c>
      <c r="Y26" s="28">
        <v>144</v>
      </c>
      <c r="Z26" s="28">
        <v>154</v>
      </c>
      <c r="AA26" s="28">
        <v>147</v>
      </c>
      <c r="AB26" s="28">
        <v>142</v>
      </c>
      <c r="AC26" s="28">
        <v>147</v>
      </c>
      <c r="AD26" s="28">
        <v>140</v>
      </c>
      <c r="AE26" s="28">
        <v>116</v>
      </c>
      <c r="AF26" s="36">
        <v>98</v>
      </c>
      <c r="AG26" s="161">
        <f t="shared" si="3"/>
        <v>-0.33333333333333331</v>
      </c>
      <c r="AH26" s="19">
        <f t="shared" si="4"/>
        <v>-63</v>
      </c>
      <c r="AI26" s="148"/>
      <c r="AJ26" s="148"/>
      <c r="AK26" s="139"/>
      <c r="AL26" s="102">
        <f t="shared" si="5"/>
        <v>18</v>
      </c>
      <c r="AM26" s="103">
        <f t="shared" si="6"/>
        <v>1.824613665983988E-2</v>
      </c>
    </row>
    <row r="27" spans="1:39" ht="17.100000000000001" customHeight="1" x14ac:dyDescent="0.25">
      <c r="A27" s="149" t="s">
        <v>45</v>
      </c>
      <c r="B27" s="150"/>
      <c r="C27" s="150"/>
      <c r="D27" s="151">
        <v>108</v>
      </c>
      <c r="E27" s="151">
        <v>113</v>
      </c>
      <c r="F27" s="151"/>
      <c r="G27" s="151">
        <v>130</v>
      </c>
      <c r="H27" s="151">
        <v>168</v>
      </c>
      <c r="I27" s="151">
        <v>147</v>
      </c>
      <c r="J27" s="152">
        <v>122</v>
      </c>
      <c r="K27" s="151">
        <v>127</v>
      </c>
      <c r="L27" s="153">
        <v>111</v>
      </c>
      <c r="M27" s="154">
        <v>113</v>
      </c>
      <c r="N27" s="155">
        <v>110</v>
      </c>
      <c r="O27" s="153">
        <v>90</v>
      </c>
      <c r="P27" s="108">
        <f>69+30</f>
        <v>99</v>
      </c>
      <c r="Q27" s="108">
        <v>95</v>
      </c>
      <c r="R27" s="93">
        <v>83</v>
      </c>
      <c r="S27" s="108">
        <v>83</v>
      </c>
      <c r="T27" s="108">
        <v>89</v>
      </c>
      <c r="U27" s="93">
        <v>88</v>
      </c>
      <c r="V27" s="108">
        <v>89</v>
      </c>
      <c r="W27" s="29">
        <v>81</v>
      </c>
      <c r="X27" s="68">
        <v>80</v>
      </c>
      <c r="Y27" s="80">
        <v>100</v>
      </c>
      <c r="Z27" s="80">
        <v>92</v>
      </c>
      <c r="AA27" s="80">
        <v>95</v>
      </c>
      <c r="AB27" s="80">
        <v>90</v>
      </c>
      <c r="AC27" s="80">
        <v>82</v>
      </c>
      <c r="AD27" s="80">
        <v>72</v>
      </c>
      <c r="AE27" s="80">
        <v>63</v>
      </c>
      <c r="AF27" s="36">
        <v>78</v>
      </c>
      <c r="AG27" s="156">
        <f t="shared" si="3"/>
        <v>-0.17894736842105263</v>
      </c>
      <c r="AH27" s="20">
        <f t="shared" si="4"/>
        <v>-11</v>
      </c>
      <c r="AI27" s="148"/>
      <c r="AJ27" s="148"/>
      <c r="AK27" s="139"/>
      <c r="AL27" s="102">
        <f t="shared" si="5"/>
        <v>21</v>
      </c>
      <c r="AM27" s="103">
        <f t="shared" si="6"/>
        <v>1.4522435300688885E-2</v>
      </c>
    </row>
    <row r="28" spans="1:39" ht="17.100000000000001" customHeight="1" x14ac:dyDescent="0.25">
      <c r="A28" s="157" t="s">
        <v>46</v>
      </c>
      <c r="B28" s="158"/>
      <c r="C28" s="158"/>
      <c r="D28" s="159">
        <v>81</v>
      </c>
      <c r="E28" s="159">
        <v>85</v>
      </c>
      <c r="F28" s="159"/>
      <c r="G28" s="151">
        <v>96</v>
      </c>
      <c r="H28" s="151">
        <v>85</v>
      </c>
      <c r="I28" s="159">
        <v>92</v>
      </c>
      <c r="J28" s="140">
        <v>86</v>
      </c>
      <c r="K28" s="159">
        <v>94</v>
      </c>
      <c r="L28" s="160">
        <v>94</v>
      </c>
      <c r="M28" s="144">
        <v>97</v>
      </c>
      <c r="N28" s="145">
        <v>94</v>
      </c>
      <c r="O28" s="143">
        <v>87</v>
      </c>
      <c r="P28" s="146">
        <f>73+12</f>
        <v>85</v>
      </c>
      <c r="Q28" s="146">
        <v>101</v>
      </c>
      <c r="R28" s="92">
        <v>122</v>
      </c>
      <c r="S28" s="107">
        <v>125</v>
      </c>
      <c r="T28" s="107">
        <v>116</v>
      </c>
      <c r="U28" s="92">
        <v>110</v>
      </c>
      <c r="V28" s="107">
        <v>120</v>
      </c>
      <c r="W28" s="28">
        <v>119</v>
      </c>
      <c r="X28" s="67">
        <v>126</v>
      </c>
      <c r="Y28" s="28">
        <v>110</v>
      </c>
      <c r="Z28" s="28">
        <v>108</v>
      </c>
      <c r="AA28" s="28">
        <v>124</v>
      </c>
      <c r="AB28" s="28">
        <v>130</v>
      </c>
      <c r="AC28" s="28">
        <v>134</v>
      </c>
      <c r="AD28" s="28">
        <v>149</v>
      </c>
      <c r="AE28" s="28">
        <v>130</v>
      </c>
      <c r="AF28" s="36">
        <v>114</v>
      </c>
      <c r="AG28" s="170">
        <f t="shared" si="3"/>
        <v>-8.0645161290322578E-2</v>
      </c>
      <c r="AH28" s="19">
        <f t="shared" si="4"/>
        <v>-6</v>
      </c>
      <c r="AI28" s="148"/>
      <c r="AJ28" s="148"/>
      <c r="AK28" s="139"/>
      <c r="AL28" s="102">
        <f t="shared" si="5"/>
        <v>16</v>
      </c>
      <c r="AM28" s="103">
        <f t="shared" si="6"/>
        <v>2.1225097747160679E-2</v>
      </c>
    </row>
    <row r="29" spans="1:39" ht="17.100000000000001" customHeight="1" x14ac:dyDescent="0.25">
      <c r="A29" s="149" t="s">
        <v>18</v>
      </c>
      <c r="B29" s="150"/>
      <c r="C29" s="150"/>
      <c r="D29" s="151">
        <v>45</v>
      </c>
      <c r="E29" s="151">
        <v>51</v>
      </c>
      <c r="F29" s="151"/>
      <c r="G29" s="171">
        <v>52</v>
      </c>
      <c r="H29" s="171">
        <v>59</v>
      </c>
      <c r="I29" s="151">
        <v>80</v>
      </c>
      <c r="J29" s="152">
        <v>86</v>
      </c>
      <c r="K29" s="151">
        <v>109</v>
      </c>
      <c r="L29" s="153">
        <v>108</v>
      </c>
      <c r="M29" s="154">
        <v>96</v>
      </c>
      <c r="N29" s="155">
        <v>126</v>
      </c>
      <c r="O29" s="153">
        <v>124</v>
      </c>
      <c r="P29" s="108">
        <f>109+6</f>
        <v>115</v>
      </c>
      <c r="Q29" s="108">
        <v>93</v>
      </c>
      <c r="R29" s="93">
        <v>96</v>
      </c>
      <c r="S29" s="108">
        <v>111</v>
      </c>
      <c r="T29" s="108">
        <v>110</v>
      </c>
      <c r="U29" s="93">
        <v>110</v>
      </c>
      <c r="V29" s="108">
        <v>127</v>
      </c>
      <c r="W29" s="29">
        <v>125</v>
      </c>
      <c r="X29" s="68">
        <v>131</v>
      </c>
      <c r="Y29" s="80">
        <v>127</v>
      </c>
      <c r="Z29" s="80">
        <v>126</v>
      </c>
      <c r="AA29" s="80">
        <v>118</v>
      </c>
      <c r="AB29" s="80">
        <v>119</v>
      </c>
      <c r="AC29" s="80">
        <v>103</v>
      </c>
      <c r="AD29" s="80">
        <v>105</v>
      </c>
      <c r="AE29" s="80">
        <v>102</v>
      </c>
      <c r="AF29" s="36">
        <v>98</v>
      </c>
      <c r="AG29" s="156">
        <f t="shared" si="3"/>
        <v>-0.16949152542372881</v>
      </c>
      <c r="AH29" s="20">
        <f t="shared" si="4"/>
        <v>-29</v>
      </c>
      <c r="AI29" s="148"/>
      <c r="AJ29" s="148"/>
      <c r="AK29" s="139"/>
      <c r="AL29" s="102">
        <f t="shared" si="5"/>
        <v>18</v>
      </c>
      <c r="AM29" s="103">
        <f>+AF29/$AF$33</f>
        <v>1.824613665983988E-2</v>
      </c>
    </row>
    <row r="30" spans="1:39" ht="17.100000000000001" customHeight="1" x14ac:dyDescent="0.25">
      <c r="A30" s="157" t="s">
        <v>47</v>
      </c>
      <c r="B30" s="158"/>
      <c r="C30" s="158"/>
      <c r="D30" s="159">
        <v>924</v>
      </c>
      <c r="E30" s="159">
        <v>902</v>
      </c>
      <c r="F30" s="159"/>
      <c r="G30" s="151">
        <v>902</v>
      </c>
      <c r="H30" s="151">
        <v>845</v>
      </c>
      <c r="I30" s="159">
        <v>827</v>
      </c>
      <c r="J30" s="140">
        <v>880</v>
      </c>
      <c r="K30" s="159">
        <v>854</v>
      </c>
      <c r="L30" s="160">
        <v>893</v>
      </c>
      <c r="M30" s="144">
        <v>916</v>
      </c>
      <c r="N30" s="145">
        <v>882</v>
      </c>
      <c r="O30" s="143">
        <v>837</v>
      </c>
      <c r="P30" s="146">
        <f>658+241</f>
        <v>899</v>
      </c>
      <c r="Q30" s="146">
        <v>856</v>
      </c>
      <c r="R30" s="92">
        <v>871</v>
      </c>
      <c r="S30" s="107">
        <v>906</v>
      </c>
      <c r="T30" s="107">
        <v>877</v>
      </c>
      <c r="U30" s="92">
        <v>845</v>
      </c>
      <c r="V30" s="107">
        <v>870</v>
      </c>
      <c r="W30" s="28">
        <v>915</v>
      </c>
      <c r="X30" s="67">
        <v>924</v>
      </c>
      <c r="Y30" s="28">
        <v>933</v>
      </c>
      <c r="Z30" s="28">
        <v>903</v>
      </c>
      <c r="AA30" s="28">
        <v>940</v>
      </c>
      <c r="AB30" s="28">
        <v>925</v>
      </c>
      <c r="AC30" s="28">
        <v>944</v>
      </c>
      <c r="AD30" s="28">
        <v>840</v>
      </c>
      <c r="AE30" s="28">
        <v>784</v>
      </c>
      <c r="AF30" s="36">
        <v>747</v>
      </c>
      <c r="AG30" s="161">
        <f t="shared" si="3"/>
        <v>-0.2053191489361702</v>
      </c>
      <c r="AH30" s="19">
        <f t="shared" si="4"/>
        <v>-123</v>
      </c>
      <c r="AI30" s="148"/>
      <c r="AJ30" s="148"/>
      <c r="AK30" s="139"/>
      <c r="AL30" s="102">
        <f t="shared" si="5"/>
        <v>1</v>
      </c>
      <c r="AM30" s="103">
        <f t="shared" si="6"/>
        <v>0.13908024576428971</v>
      </c>
    </row>
    <row r="31" spans="1:39" ht="17.100000000000001" customHeight="1" x14ac:dyDescent="0.25">
      <c r="A31" s="162" t="s">
        <v>48</v>
      </c>
      <c r="B31" s="163"/>
      <c r="C31" s="163"/>
      <c r="D31" s="164">
        <v>378</v>
      </c>
      <c r="E31" s="164">
        <v>379</v>
      </c>
      <c r="F31" s="164"/>
      <c r="G31" s="151">
        <v>400</v>
      </c>
      <c r="H31" s="151">
        <v>399</v>
      </c>
      <c r="I31" s="164">
        <v>383</v>
      </c>
      <c r="J31" s="165">
        <v>314</v>
      </c>
      <c r="K31" s="164">
        <v>321</v>
      </c>
      <c r="L31" s="166">
        <v>341</v>
      </c>
      <c r="M31" s="167">
        <v>358</v>
      </c>
      <c r="N31" s="168">
        <v>361</v>
      </c>
      <c r="O31" s="166">
        <v>356</v>
      </c>
      <c r="P31" s="109">
        <f>322+85</f>
        <v>407</v>
      </c>
      <c r="Q31" s="109">
        <v>362</v>
      </c>
      <c r="R31" s="94">
        <v>369</v>
      </c>
      <c r="S31" s="109">
        <v>409</v>
      </c>
      <c r="T31" s="109">
        <v>391</v>
      </c>
      <c r="U31" s="94">
        <v>345</v>
      </c>
      <c r="V31" s="109">
        <v>354</v>
      </c>
      <c r="W31" s="30">
        <v>369</v>
      </c>
      <c r="X31" s="69">
        <v>385</v>
      </c>
      <c r="Y31" s="81">
        <v>394</v>
      </c>
      <c r="Z31" s="81">
        <v>396</v>
      </c>
      <c r="AA31" s="81">
        <v>389</v>
      </c>
      <c r="AB31" s="81">
        <v>405</v>
      </c>
      <c r="AC31" s="81">
        <v>426</v>
      </c>
      <c r="AD31" s="81">
        <v>392</v>
      </c>
      <c r="AE31" s="81">
        <v>389</v>
      </c>
      <c r="AF31" s="51">
        <v>381</v>
      </c>
      <c r="AG31" s="169">
        <f t="shared" si="3"/>
        <v>-2.056555269922879E-2</v>
      </c>
      <c r="AH31" s="21">
        <f t="shared" si="4"/>
        <v>27</v>
      </c>
      <c r="AI31" s="148"/>
      <c r="AJ31" s="148"/>
      <c r="AK31" s="126"/>
      <c r="AL31" s="102">
        <f t="shared" si="5"/>
        <v>5</v>
      </c>
      <c r="AM31" s="103">
        <f t="shared" si="6"/>
        <v>7.0936510891826482E-2</v>
      </c>
    </row>
    <row r="32" spans="1:39" ht="17.100000000000001" hidden="1" customHeight="1" x14ac:dyDescent="0.25">
      <c r="A32" s="40" t="s">
        <v>21</v>
      </c>
      <c r="B32" s="41"/>
      <c r="C32" s="41"/>
      <c r="D32" s="42">
        <v>0</v>
      </c>
      <c r="E32" s="42">
        <v>0</v>
      </c>
      <c r="F32" s="42"/>
      <c r="G32" s="172">
        <v>0</v>
      </c>
      <c r="H32" s="172">
        <v>1</v>
      </c>
      <c r="I32" s="42">
        <v>0</v>
      </c>
      <c r="J32" s="140">
        <v>0</v>
      </c>
      <c r="K32" s="42">
        <v>0</v>
      </c>
      <c r="L32" s="173">
        <v>0</v>
      </c>
      <c r="M32" s="174">
        <v>0</v>
      </c>
      <c r="N32" s="175">
        <v>0</v>
      </c>
      <c r="O32" s="141">
        <v>0</v>
      </c>
      <c r="P32" s="107">
        <v>0</v>
      </c>
      <c r="Q32" s="107">
        <v>0</v>
      </c>
      <c r="R32" s="95">
        <v>0</v>
      </c>
      <c r="S32" s="110">
        <v>0</v>
      </c>
      <c r="T32" s="110">
        <v>0</v>
      </c>
      <c r="U32" s="95">
        <v>0</v>
      </c>
      <c r="V32" s="110"/>
      <c r="W32" s="26"/>
      <c r="X32" s="70"/>
      <c r="Y32" s="26">
        <v>0</v>
      </c>
      <c r="Z32" s="26">
        <v>0</v>
      </c>
      <c r="AA32" s="26">
        <v>0</v>
      </c>
      <c r="AB32" s="26">
        <v>0</v>
      </c>
      <c r="AC32" s="26">
        <v>0</v>
      </c>
      <c r="AD32" s="26">
        <v>0</v>
      </c>
      <c r="AE32" s="28"/>
      <c r="AF32" s="26"/>
      <c r="AG32" s="67" t="e">
        <f t="shared" si="3"/>
        <v>#DIV/0!</v>
      </c>
      <c r="AH32" s="48">
        <f t="shared" si="4"/>
        <v>0</v>
      </c>
      <c r="AI32" s="23"/>
      <c r="AL32" s="122" t="e">
        <f t="shared" si="5"/>
        <v>#N/A</v>
      </c>
      <c r="AM32" s="103">
        <f t="shared" si="6"/>
        <v>0</v>
      </c>
    </row>
    <row r="33" spans="1:41" ht="17.100000000000001" customHeight="1" x14ac:dyDescent="0.25">
      <c r="A33" s="176" t="s">
        <v>22</v>
      </c>
      <c r="B33" s="177"/>
      <c r="C33" s="177"/>
      <c r="D33" s="49">
        <f t="shared" ref="D33:O33" si="7">SUM(D8:D32)</f>
        <v>4020</v>
      </c>
      <c r="E33" s="49">
        <f t="shared" si="7"/>
        <v>4034</v>
      </c>
      <c r="F33" s="49"/>
      <c r="G33" s="49">
        <f t="shared" si="7"/>
        <v>4129</v>
      </c>
      <c r="H33" s="49">
        <f t="shared" si="7"/>
        <v>4257</v>
      </c>
      <c r="I33" s="49">
        <f t="shared" si="7"/>
        <v>4389</v>
      </c>
      <c r="J33" s="54">
        <f t="shared" si="7"/>
        <v>4681</v>
      </c>
      <c r="K33" s="49">
        <f t="shared" si="7"/>
        <v>4942</v>
      </c>
      <c r="L33" s="62">
        <f t="shared" si="7"/>
        <v>5126</v>
      </c>
      <c r="M33" s="63">
        <f t="shared" si="7"/>
        <v>5255</v>
      </c>
      <c r="N33" s="76">
        <f t="shared" si="7"/>
        <v>5457</v>
      </c>
      <c r="O33" s="62">
        <f t="shared" si="7"/>
        <v>5525</v>
      </c>
      <c r="P33" s="86">
        <f t="shared" ref="P33:AB33" si="8">SUM(P8:P32)</f>
        <v>5824</v>
      </c>
      <c r="Q33" s="86">
        <f t="shared" si="8"/>
        <v>5931</v>
      </c>
      <c r="R33" s="96">
        <f t="shared" si="8"/>
        <v>6266</v>
      </c>
      <c r="S33" s="86">
        <f t="shared" si="8"/>
        <v>6592</v>
      </c>
      <c r="T33" s="86">
        <f t="shared" si="8"/>
        <v>6712</v>
      </c>
      <c r="U33" s="96">
        <f>SUM(U8:U32)</f>
        <v>6779</v>
      </c>
      <c r="V33" s="86">
        <f t="shared" si="8"/>
        <v>6831</v>
      </c>
      <c r="W33" s="27">
        <f>SUM(W8:W32)</f>
        <v>6809</v>
      </c>
      <c r="X33" s="27">
        <f>SUM(X8:X32)</f>
        <v>6751</v>
      </c>
      <c r="Y33" s="27">
        <f t="shared" ref="Y33:AA33" si="9">SUM(Y8:Y32)</f>
        <v>6647</v>
      </c>
      <c r="Z33" s="27">
        <f t="shared" si="9"/>
        <v>6644</v>
      </c>
      <c r="AA33" s="27">
        <f t="shared" si="9"/>
        <v>6619</v>
      </c>
      <c r="AB33" s="27">
        <f t="shared" si="8"/>
        <v>6566</v>
      </c>
      <c r="AC33" s="27">
        <f t="shared" ref="AC33" si="10">SUM(AC8:AC32)</f>
        <v>6621</v>
      </c>
      <c r="AD33" s="27">
        <f t="shared" ref="AD33:AE33" si="11">SUM(AD8:AD32)</f>
        <v>6167</v>
      </c>
      <c r="AE33" s="27">
        <f t="shared" si="11"/>
        <v>5708</v>
      </c>
      <c r="AF33" s="210">
        <f>SUM(AF8:AF32)</f>
        <v>5371</v>
      </c>
      <c r="AG33" s="178">
        <f t="shared" si="3"/>
        <v>-0.18854811905121618</v>
      </c>
      <c r="AH33" s="48">
        <f t="shared" si="4"/>
        <v>-1460</v>
      </c>
      <c r="AI33" s="22"/>
    </row>
    <row r="34" spans="1:41" ht="17.100000000000001" customHeight="1" x14ac:dyDescent="0.25">
      <c r="A34" s="40" t="s">
        <v>23</v>
      </c>
      <c r="B34" s="41"/>
      <c r="C34" s="41"/>
      <c r="D34" s="42">
        <v>1279</v>
      </c>
      <c r="E34" s="42">
        <v>1224</v>
      </c>
      <c r="F34" s="42"/>
      <c r="G34" s="42">
        <v>1229</v>
      </c>
      <c r="H34" s="42">
        <v>1242</v>
      </c>
      <c r="I34" s="42">
        <v>1117</v>
      </c>
      <c r="J34" s="140">
        <v>1164</v>
      </c>
      <c r="K34" s="42">
        <v>1074</v>
      </c>
      <c r="L34" s="141">
        <v>1026</v>
      </c>
      <c r="M34" s="174">
        <f>1+8+13+144+8+3+2+1+1+3+6+1+3+1+1+1+3+334+165+3+3+90+1+3+85+1+3+3</f>
        <v>891</v>
      </c>
      <c r="N34" s="175">
        <v>876</v>
      </c>
      <c r="O34" s="141">
        <v>875</v>
      </c>
      <c r="P34" s="107">
        <f>2+3+1+1+13+2+138+13+11+2+5+2+1+2+1+4+5+3+1+1+1+3+346+21+145+10+6+1+85+4+1+1+2+2+64+13+1+2+1+1</f>
        <v>921</v>
      </c>
      <c r="Q34" s="107">
        <v>967</v>
      </c>
      <c r="R34" s="92">
        <v>967</v>
      </c>
      <c r="S34" s="107">
        <v>924</v>
      </c>
      <c r="T34" s="107">
        <v>949</v>
      </c>
      <c r="U34" s="92">
        <v>1025</v>
      </c>
      <c r="V34" s="209">
        <v>1059</v>
      </c>
      <c r="W34" s="28">
        <v>1084</v>
      </c>
      <c r="X34" s="67">
        <v>1086</v>
      </c>
      <c r="Y34" s="28">
        <v>1030</v>
      </c>
      <c r="Z34" s="28">
        <v>1036</v>
      </c>
      <c r="AA34" s="28">
        <v>991</v>
      </c>
      <c r="AB34" s="28">
        <v>955</v>
      </c>
      <c r="AC34" s="28">
        <v>935</v>
      </c>
      <c r="AD34" s="28">
        <v>885</v>
      </c>
      <c r="AE34" s="28">
        <v>860</v>
      </c>
      <c r="AF34" s="36">
        <v>908</v>
      </c>
      <c r="AG34" s="138">
        <f t="shared" si="3"/>
        <v>-8.3753784056508573E-2</v>
      </c>
      <c r="AH34" s="44">
        <f t="shared" si="4"/>
        <v>-151</v>
      </c>
    </row>
    <row r="35" spans="1:41" ht="17.100000000000001" customHeight="1" x14ac:dyDescent="0.25">
      <c r="A35" s="157" t="s">
        <v>35</v>
      </c>
      <c r="B35" s="41"/>
      <c r="C35" s="41"/>
      <c r="D35" s="42"/>
      <c r="E35" s="42"/>
      <c r="F35" s="42"/>
      <c r="G35" s="42"/>
      <c r="H35" s="42"/>
      <c r="I35" s="42"/>
      <c r="J35" s="140"/>
      <c r="K35" s="42">
        <v>0</v>
      </c>
      <c r="L35" s="141"/>
      <c r="M35" s="174"/>
      <c r="N35" s="175"/>
      <c r="O35" s="141"/>
      <c r="P35" s="107">
        <v>0</v>
      </c>
      <c r="Q35" s="107"/>
      <c r="R35" s="92"/>
      <c r="S35" s="107">
        <v>0</v>
      </c>
      <c r="T35" s="107"/>
      <c r="U35" s="92">
        <v>0</v>
      </c>
      <c r="V35" s="107">
        <v>0</v>
      </c>
      <c r="W35" s="28"/>
      <c r="X35" s="67">
        <v>0</v>
      </c>
      <c r="Y35" s="28">
        <v>0</v>
      </c>
      <c r="Z35" s="28">
        <v>0</v>
      </c>
      <c r="AA35" s="28">
        <v>32</v>
      </c>
      <c r="AB35" s="28">
        <v>33</v>
      </c>
      <c r="AC35" s="28">
        <v>30</v>
      </c>
      <c r="AD35" s="28">
        <v>35</v>
      </c>
      <c r="AE35" s="28">
        <v>41</v>
      </c>
      <c r="AF35" s="36">
        <v>41</v>
      </c>
      <c r="AG35" s="147">
        <f t="shared" si="3"/>
        <v>0.28125</v>
      </c>
      <c r="AH35" s="44">
        <f t="shared" si="4"/>
        <v>41</v>
      </c>
      <c r="AL35" s="126"/>
      <c r="AM35" s="135"/>
    </row>
    <row r="36" spans="1:41" ht="17.100000000000001" customHeight="1" x14ac:dyDescent="0.25">
      <c r="A36" s="40" t="s">
        <v>31</v>
      </c>
      <c r="B36" s="41"/>
      <c r="C36" s="41"/>
      <c r="D36" s="42">
        <v>37</v>
      </c>
      <c r="E36" s="42">
        <v>34</v>
      </c>
      <c r="F36" s="42"/>
      <c r="G36" s="42">
        <v>31</v>
      </c>
      <c r="H36" s="42">
        <v>29</v>
      </c>
      <c r="I36" s="42">
        <v>25</v>
      </c>
      <c r="J36" s="140">
        <v>35</v>
      </c>
      <c r="K36" s="42">
        <v>39</v>
      </c>
      <c r="L36" s="141">
        <v>49</v>
      </c>
      <c r="M36" s="174">
        <v>52</v>
      </c>
      <c r="N36" s="175">
        <v>31</v>
      </c>
      <c r="O36" s="141">
        <v>34</v>
      </c>
      <c r="P36" s="107">
        <f>41+5-3</f>
        <v>43</v>
      </c>
      <c r="Q36" s="107">
        <v>41</v>
      </c>
      <c r="R36" s="92">
        <v>47</v>
      </c>
      <c r="S36" s="107">
        <v>41</v>
      </c>
      <c r="T36" s="107">
        <v>45</v>
      </c>
      <c r="U36" s="92">
        <v>86</v>
      </c>
      <c r="V36" s="107">
        <v>79</v>
      </c>
      <c r="W36" s="28">
        <v>109</v>
      </c>
      <c r="X36" s="67">
        <v>141</v>
      </c>
      <c r="Y36" s="28">
        <v>138</v>
      </c>
      <c r="Z36" s="28">
        <v>142</v>
      </c>
      <c r="AA36" s="28">
        <v>114</v>
      </c>
      <c r="AB36" s="28">
        <v>90</v>
      </c>
      <c r="AC36" s="28">
        <v>93</v>
      </c>
      <c r="AD36" s="28">
        <v>61</v>
      </c>
      <c r="AE36" s="28">
        <v>67</v>
      </c>
      <c r="AF36" s="36">
        <v>58</v>
      </c>
      <c r="AG36" s="138">
        <f t="shared" si="3"/>
        <v>-0.49122807017543857</v>
      </c>
      <c r="AH36" s="44">
        <f t="shared" si="4"/>
        <v>-21</v>
      </c>
      <c r="AL36" s="126"/>
      <c r="AM36" s="135"/>
    </row>
    <row r="37" spans="1:41" ht="17.100000000000001" customHeight="1" x14ac:dyDescent="0.25">
      <c r="A37" s="179" t="s">
        <v>36</v>
      </c>
      <c r="B37" s="180"/>
      <c r="C37" s="180"/>
      <c r="D37" s="181">
        <v>0</v>
      </c>
      <c r="E37" s="182">
        <v>2</v>
      </c>
      <c r="F37" s="182"/>
      <c r="G37" s="181">
        <v>2</v>
      </c>
      <c r="H37" s="181">
        <v>6</v>
      </c>
      <c r="I37" s="181">
        <v>5</v>
      </c>
      <c r="J37" s="183">
        <v>3</v>
      </c>
      <c r="K37" s="182">
        <v>5</v>
      </c>
      <c r="L37" s="184">
        <v>5</v>
      </c>
      <c r="M37" s="185">
        <v>1</v>
      </c>
      <c r="N37" s="186">
        <v>2</v>
      </c>
      <c r="O37" s="184">
        <v>3</v>
      </c>
      <c r="P37" s="111">
        <v>3</v>
      </c>
      <c r="Q37" s="111">
        <v>2</v>
      </c>
      <c r="R37" s="97">
        <v>1</v>
      </c>
      <c r="S37" s="111">
        <v>0</v>
      </c>
      <c r="T37" s="111">
        <v>0</v>
      </c>
      <c r="U37" s="97">
        <v>1</v>
      </c>
      <c r="V37" s="111">
        <v>0</v>
      </c>
      <c r="W37" s="79">
        <v>2</v>
      </c>
      <c r="X37" s="71">
        <v>19</v>
      </c>
      <c r="Y37" s="79">
        <v>34</v>
      </c>
      <c r="Z37" s="79">
        <v>39</v>
      </c>
      <c r="AA37" s="79">
        <v>26</v>
      </c>
      <c r="AB37" s="79">
        <v>6</v>
      </c>
      <c r="AC37" s="79">
        <v>7</v>
      </c>
      <c r="AD37" s="79">
        <v>2</v>
      </c>
      <c r="AE37" s="79">
        <v>19</v>
      </c>
      <c r="AF37" s="98">
        <v>0</v>
      </c>
      <c r="AG37" s="187">
        <f t="shared" si="3"/>
        <v>-1</v>
      </c>
      <c r="AH37" s="50">
        <f t="shared" si="4"/>
        <v>0</v>
      </c>
      <c r="AL37" s="126"/>
      <c r="AM37" s="135"/>
    </row>
    <row r="38" spans="1:41" ht="17.100000000000001" customHeight="1" x14ac:dyDescent="0.2">
      <c r="A38" s="188"/>
      <c r="B38" s="1"/>
      <c r="C38" s="18"/>
      <c r="D38" s="18"/>
      <c r="E38" s="18"/>
      <c r="F38" s="5"/>
      <c r="G38" s="5"/>
      <c r="H38" s="5"/>
      <c r="I38" s="5"/>
      <c r="J38" s="5"/>
      <c r="K38" s="18"/>
      <c r="L38" s="18"/>
      <c r="M38" s="18"/>
      <c r="N38" s="18"/>
      <c r="O38" s="18"/>
      <c r="P38" s="18"/>
      <c r="Q38" s="5"/>
      <c r="R38" s="18"/>
      <c r="S38" s="18"/>
      <c r="T38" s="18"/>
      <c r="U38" s="18"/>
      <c r="V38" s="5"/>
      <c r="W38" s="15"/>
      <c r="X38" s="15"/>
    </row>
    <row r="39" spans="1:41" ht="17.100000000000001" customHeight="1" thickBot="1" x14ac:dyDescent="0.25">
      <c r="A39" s="1"/>
      <c r="B39" s="1"/>
      <c r="C39" s="1"/>
      <c r="D39" s="1"/>
      <c r="E39" s="1"/>
      <c r="F39" s="1"/>
      <c r="H39" s="1"/>
      <c r="I39" s="1"/>
    </row>
    <row r="40" spans="1:41" ht="17.100000000000001" customHeight="1" thickTop="1" x14ac:dyDescent="0.2">
      <c r="A40" s="1"/>
      <c r="C40" s="1"/>
      <c r="D40" s="1"/>
      <c r="E40" s="1"/>
      <c r="F40" s="1"/>
      <c r="H40" s="1"/>
      <c r="I40" s="1"/>
      <c r="R40" s="189"/>
      <c r="Z40" s="190"/>
      <c r="AA40" s="190"/>
      <c r="AC40" s="117">
        <v>2012</v>
      </c>
      <c r="AD40" s="118"/>
      <c r="AE40" s="117">
        <v>2017</v>
      </c>
      <c r="AF40" s="118"/>
      <c r="AG40" s="119">
        <v>2022</v>
      </c>
      <c r="AH40" s="120"/>
    </row>
    <row r="41" spans="1:41" ht="17.100000000000001" customHeight="1" thickBot="1" x14ac:dyDescent="0.25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"/>
      <c r="AA41" s="236" t="s">
        <v>24</v>
      </c>
      <c r="AB41" s="237"/>
      <c r="AC41" s="191" t="s">
        <v>28</v>
      </c>
      <c r="AD41" s="232" t="s">
        <v>25</v>
      </c>
      <c r="AE41" s="191" t="s">
        <v>28</v>
      </c>
      <c r="AF41" s="232" t="s">
        <v>25</v>
      </c>
      <c r="AG41" s="191" t="s">
        <v>28</v>
      </c>
      <c r="AH41" s="232" t="s">
        <v>25</v>
      </c>
    </row>
    <row r="42" spans="1:41" ht="17.100000000000001" customHeight="1" thickTop="1" thickBot="1" x14ac:dyDescent="0.3">
      <c r="A42" s="226" t="s">
        <v>49</v>
      </c>
      <c r="B42" s="227"/>
      <c r="C42" s="228"/>
      <c r="D42" s="192"/>
      <c r="E42" s="193"/>
      <c r="F42" s="193"/>
      <c r="G42" s="194"/>
      <c r="H42" s="126"/>
      <c r="I42" s="195" t="s">
        <v>24</v>
      </c>
      <c r="J42" s="195"/>
      <c r="K42" s="195"/>
      <c r="L42" s="195"/>
      <c r="M42" s="195"/>
      <c r="N42" s="195"/>
      <c r="O42" s="196"/>
      <c r="P42" s="196"/>
      <c r="AA42" s="233" t="s">
        <v>26</v>
      </c>
      <c r="AB42" s="238"/>
      <c r="AC42" s="211">
        <f>+V13+V15+V17+V22+V25+V27+V28+V30+V31</f>
        <v>2118</v>
      </c>
      <c r="AD42" s="197">
        <f>+AC42/$V$6</f>
        <v>0.26577989710126743</v>
      </c>
      <c r="AE42" s="211">
        <f>+AA13+AA15+AA17+AA22+AA25+AA27+AA28+AA30+AA31</f>
        <v>2140</v>
      </c>
      <c r="AF42" s="197">
        <f>+AE42/$Y$6</f>
        <v>0.2726461969677666</v>
      </c>
      <c r="AG42" s="211">
        <f>+AF13+AF15+AF17+AF22+AF25+AF27+AF28+AF30+AF31</f>
        <v>1880</v>
      </c>
      <c r="AH42" s="198">
        <f>+AG42/AE6</f>
        <v>0.28080657206870802</v>
      </c>
    </row>
    <row r="43" spans="1:41" ht="17.100000000000001" customHeight="1" thickTop="1" x14ac:dyDescent="0.2">
      <c r="A43" s="229" t="s">
        <v>50</v>
      </c>
      <c r="B43" s="230"/>
      <c r="C43" s="231"/>
      <c r="D43" s="199"/>
      <c r="E43" s="199"/>
      <c r="F43" s="199"/>
      <c r="G43" s="2"/>
      <c r="H43" s="126"/>
      <c r="I43" s="200" t="s">
        <v>26</v>
      </c>
      <c r="J43" s="200"/>
      <c r="K43" s="200"/>
      <c r="L43" s="200"/>
      <c r="M43" s="200"/>
      <c r="N43" s="200"/>
      <c r="O43" s="200"/>
      <c r="P43" s="200"/>
      <c r="AA43" s="234" t="s">
        <v>27</v>
      </c>
      <c r="AB43" s="239"/>
      <c r="AC43" s="212">
        <f>+V8+V9+V10+V11+V12+V14+V16+V18+V19+V20+V21+V23+V24+V26+V29</f>
        <v>4713</v>
      </c>
      <c r="AD43" s="201">
        <f t="shared" ref="AD43:AD45" si="12">+AC43/$V$6</f>
        <v>0.59141673986698462</v>
      </c>
      <c r="AE43" s="212">
        <f>+AA8+AA9+AA10+AA11+AA12+AA14+AA16+AA18+AA19+AA20+AA21+AA23+AA24+AA26+AA29</f>
        <v>4479</v>
      </c>
      <c r="AF43" s="201">
        <f>+AE43/$Y$6</f>
        <v>0.57064594215823672</v>
      </c>
      <c r="AG43" s="212">
        <f>+AF8+AF9+AF10+AF11+AF12+AF14+AF16+AF18+AF19+AF20+AF21+AF23+AF24+AF26+AF29</f>
        <v>3491</v>
      </c>
      <c r="AH43" s="201">
        <f>+AG43/AE6</f>
        <v>0.52143390589992533</v>
      </c>
    </row>
    <row r="44" spans="1:41" ht="17.100000000000001" customHeight="1" x14ac:dyDescent="0.2">
      <c r="A44" s="214" t="s">
        <v>19</v>
      </c>
      <c r="B44" s="215"/>
      <c r="C44" s="216">
        <f>+AM30</f>
        <v>0.13908024576428971</v>
      </c>
      <c r="D44" s="8"/>
      <c r="E44" s="8"/>
      <c r="F44" s="8"/>
      <c r="G44" s="2"/>
      <c r="H44" s="126"/>
      <c r="I44" s="200" t="s">
        <v>27</v>
      </c>
      <c r="J44" s="200"/>
      <c r="K44" s="200"/>
      <c r="L44" s="200"/>
      <c r="M44" s="200"/>
      <c r="N44" s="200"/>
      <c r="O44" s="200"/>
      <c r="P44" s="200"/>
      <c r="AA44" s="234" t="s">
        <v>23</v>
      </c>
      <c r="AB44" s="239"/>
      <c r="AC44" s="212">
        <f>+V34</f>
        <v>1059</v>
      </c>
      <c r="AD44" s="201">
        <f t="shared" si="12"/>
        <v>0.13288994855063371</v>
      </c>
      <c r="AE44" s="212">
        <f>+AA34</f>
        <v>991</v>
      </c>
      <c r="AF44" s="201">
        <f>+AE44/$Y$6</f>
        <v>0.1262581220537648</v>
      </c>
      <c r="AG44" s="212">
        <f>+AF34</f>
        <v>908</v>
      </c>
      <c r="AH44" s="201">
        <f>+AG44/AE6</f>
        <v>0.13562359970126961</v>
      </c>
    </row>
    <row r="45" spans="1:41" ht="17.100000000000001" customHeight="1" thickBot="1" x14ac:dyDescent="0.25">
      <c r="A45" s="214" t="s">
        <v>15</v>
      </c>
      <c r="B45" s="215"/>
      <c r="C45" s="216">
        <f>+AM23</f>
        <v>0.10035375162911934</v>
      </c>
      <c r="D45" s="8"/>
      <c r="E45" s="8"/>
      <c r="F45" s="8"/>
      <c r="G45" s="2"/>
      <c r="H45" s="126"/>
      <c r="I45" s="16" t="s">
        <v>29</v>
      </c>
      <c r="J45" s="200"/>
      <c r="K45" s="200"/>
      <c r="L45" s="200"/>
      <c r="M45" s="200"/>
      <c r="N45" s="200"/>
      <c r="O45" s="200"/>
      <c r="P45" s="200"/>
      <c r="AA45" s="235" t="s">
        <v>37</v>
      </c>
      <c r="AB45" s="240"/>
      <c r="AC45" s="213">
        <f>+V35+V36+V37</f>
        <v>79</v>
      </c>
      <c r="AD45" s="202">
        <f t="shared" si="12"/>
        <v>9.9134144811143174E-3</v>
      </c>
      <c r="AE45" s="213">
        <f>+AA35+AA36+AA37</f>
        <v>172</v>
      </c>
      <c r="AF45" s="202">
        <f>+AE45/$Y$6</f>
        <v>2.1913619569371896E-2</v>
      </c>
      <c r="AG45" s="213">
        <f>+AF35+AF36+AF37</f>
        <v>99</v>
      </c>
      <c r="AH45" s="202">
        <f>+AG45/AE6</f>
        <v>1.4787154592979836E-2</v>
      </c>
      <c r="AI45" s="189"/>
      <c r="AJ45" s="241"/>
    </row>
    <row r="46" spans="1:41" ht="17.100000000000001" customHeight="1" thickTop="1" x14ac:dyDescent="0.2">
      <c r="A46" s="214" t="s">
        <v>5</v>
      </c>
      <c r="B46" s="215"/>
      <c r="C46" s="216">
        <f>+AM9</f>
        <v>0.10798733941537889</v>
      </c>
      <c r="D46" s="8"/>
      <c r="E46" s="8"/>
      <c r="F46" s="8"/>
      <c r="G46" s="2"/>
      <c r="H46" s="7"/>
      <c r="I46" s="7"/>
      <c r="J46" s="7"/>
      <c r="K46" s="7"/>
      <c r="L46" s="7"/>
      <c r="M46" s="7"/>
      <c r="N46" s="7"/>
      <c r="O46" s="7"/>
      <c r="P46" s="7"/>
      <c r="X46" s="204" t="s">
        <v>29</v>
      </c>
      <c r="Y46" s="99"/>
      <c r="Z46" s="87"/>
      <c r="AA46" s="242"/>
      <c r="AB46" s="243">
        <f>+AD44+AD45</f>
        <v>0.14280336303174804</v>
      </c>
      <c r="AC46" s="244"/>
      <c r="AD46" s="243"/>
      <c r="AE46" s="243">
        <f>+AE45+AE44</f>
        <v>1163</v>
      </c>
      <c r="AF46" s="243">
        <f>+AF45+AF44</f>
        <v>0.1481717416231367</v>
      </c>
      <c r="AG46" s="243" t="e">
        <f>+#REF!+#REF!</f>
        <v>#REF!</v>
      </c>
      <c r="AH46" s="244"/>
      <c r="AI46" s="243">
        <f>+AH45+AH44</f>
        <v>0.15041075429424944</v>
      </c>
      <c r="AJ46" s="189"/>
      <c r="AK46" s="203"/>
      <c r="AL46" s="203"/>
      <c r="AM46" s="203"/>
    </row>
    <row r="47" spans="1:41" ht="17.100000000000001" customHeight="1" x14ac:dyDescent="0.2">
      <c r="A47" s="214" t="s">
        <v>6</v>
      </c>
      <c r="B47" s="215"/>
      <c r="C47" s="216">
        <f>+AM10</f>
        <v>8.4900390988642715E-2</v>
      </c>
      <c r="D47" s="8"/>
      <c r="E47" s="8"/>
      <c r="F47" s="8"/>
      <c r="G47" s="2"/>
      <c r="H47" s="205" t="s">
        <v>34</v>
      </c>
      <c r="I47" s="126"/>
      <c r="J47" s="126"/>
      <c r="K47" s="126"/>
      <c r="M47" s="126"/>
      <c r="N47" s="126"/>
      <c r="O47" s="126"/>
      <c r="X47" s="100"/>
      <c r="Y47" s="100"/>
      <c r="Z47" s="101">
        <f>+AC42+AC43+AC44+AC45</f>
        <v>7969</v>
      </c>
      <c r="AA47" s="245"/>
      <c r="AB47" s="246">
        <f>+AE42+AE43+AE44+AE45</f>
        <v>7782</v>
      </c>
      <c r="AC47" s="245"/>
      <c r="AD47" s="245"/>
      <c r="AE47" s="245"/>
      <c r="AF47" s="245"/>
      <c r="AG47" s="246">
        <f>+AG42+AG43+AG44+AG45</f>
        <v>6378</v>
      </c>
      <c r="AH47" s="247">
        <f>+AG45+AG44</f>
        <v>1007</v>
      </c>
      <c r="AI47" s="248"/>
      <c r="AJ47" s="189"/>
    </row>
    <row r="48" spans="1:41" ht="17.100000000000001" customHeight="1" x14ac:dyDescent="0.2">
      <c r="A48" s="214" t="s">
        <v>20</v>
      </c>
      <c r="B48" s="215"/>
      <c r="C48" s="216">
        <f>+AM31</f>
        <v>7.0936510891826482E-2</v>
      </c>
      <c r="D48" s="8"/>
      <c r="E48" s="8"/>
      <c r="F48" s="8"/>
      <c r="G48" s="2"/>
      <c r="H48" s="7"/>
      <c r="I48" s="7"/>
      <c r="J48" s="7"/>
      <c r="K48" s="7"/>
      <c r="L48" s="7"/>
      <c r="M48" s="7"/>
      <c r="N48" s="7"/>
      <c r="O48" s="7"/>
      <c r="P48" s="7"/>
      <c r="Q48" s="7"/>
      <c r="R48" s="9"/>
      <c r="T48" s="126"/>
      <c r="U48" s="206"/>
      <c r="V48" s="2"/>
      <c r="W48" s="2"/>
      <c r="X48" s="2"/>
      <c r="Y48" s="207"/>
      <c r="Z48" s="208"/>
      <c r="AA48" s="249"/>
      <c r="AB48" s="249"/>
      <c r="AC48" s="249"/>
      <c r="AD48" s="249"/>
      <c r="AE48" s="249"/>
      <c r="AF48" s="249"/>
      <c r="AG48" s="249"/>
      <c r="AH48" s="249"/>
      <c r="AI48" s="250"/>
      <c r="AJ48" s="189"/>
      <c r="AN48" s="126"/>
      <c r="AO48" s="135"/>
    </row>
    <row r="49" spans="1:42" ht="17.100000000000001" customHeight="1" x14ac:dyDescent="0.2">
      <c r="A49" s="214" t="s">
        <v>13</v>
      </c>
      <c r="B49" s="215"/>
      <c r="C49" s="216">
        <f>+AM20</f>
        <v>5.5483150251349839E-2</v>
      </c>
      <c r="D49" s="8"/>
      <c r="E49" s="8"/>
      <c r="F49" s="8"/>
      <c r="G49" s="2"/>
      <c r="H49" s="7"/>
      <c r="I49" s="7"/>
      <c r="J49" s="7"/>
      <c r="K49" s="7"/>
      <c r="L49" s="7"/>
      <c r="M49" s="7"/>
      <c r="N49" s="7"/>
      <c r="O49" s="7"/>
      <c r="P49" s="7"/>
      <c r="Q49" s="7"/>
      <c r="R49" s="9"/>
      <c r="T49" s="126"/>
      <c r="U49" s="5"/>
      <c r="V49" s="5"/>
      <c r="W49" s="1"/>
      <c r="X49" s="1"/>
      <c r="Y49" s="1"/>
      <c r="Z49" s="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O49" s="126"/>
      <c r="AP49" s="135"/>
    </row>
    <row r="50" spans="1:42" ht="17.100000000000001" customHeight="1" x14ac:dyDescent="0.2">
      <c r="A50" s="214" t="s">
        <v>11</v>
      </c>
      <c r="B50" s="215"/>
      <c r="C50" s="216">
        <f>+AM18</f>
        <v>5.7531185998882892E-2</v>
      </c>
      <c r="D50" s="10"/>
      <c r="E50" s="10"/>
      <c r="F50" s="10"/>
      <c r="G50" s="2"/>
      <c r="H50" s="7"/>
      <c r="I50" s="7"/>
      <c r="J50" s="7"/>
      <c r="K50" s="7"/>
      <c r="L50" s="7"/>
      <c r="M50" s="7"/>
      <c r="N50" s="7"/>
      <c r="O50" s="7"/>
      <c r="P50" s="7"/>
      <c r="Q50" s="7"/>
      <c r="R50" s="9"/>
      <c r="T50" s="126"/>
      <c r="U50" s="5"/>
      <c r="V50" s="5"/>
      <c r="W50" s="1"/>
      <c r="X50" s="1"/>
      <c r="Y50" s="1"/>
      <c r="Z50" s="1"/>
      <c r="AA50" s="251"/>
      <c r="AB50" s="251"/>
      <c r="AC50" s="251"/>
      <c r="AD50" s="251"/>
      <c r="AE50" s="251"/>
      <c r="AF50" s="251"/>
      <c r="AG50" s="251"/>
      <c r="AH50" s="251"/>
      <c r="AI50" s="1"/>
      <c r="AJ50" s="1"/>
      <c r="AO50" s="126"/>
      <c r="AP50" s="135"/>
    </row>
    <row r="51" spans="1:42" ht="17.100000000000001" customHeight="1" x14ac:dyDescent="0.2">
      <c r="A51" s="214" t="s">
        <v>14</v>
      </c>
      <c r="B51" s="215"/>
      <c r="C51" s="216">
        <f>+AM21</f>
        <v>4.8408117668962948E-2</v>
      </c>
      <c r="D51" s="10"/>
      <c r="E51" s="10"/>
      <c r="F51" s="10"/>
      <c r="G51" s="2"/>
      <c r="H51" s="7"/>
      <c r="I51" s="7"/>
      <c r="J51" s="7"/>
      <c r="K51" s="7"/>
      <c r="L51" s="7"/>
      <c r="M51" s="7"/>
      <c r="N51" s="7"/>
      <c r="O51" s="7"/>
      <c r="P51" s="7"/>
      <c r="Q51" s="7"/>
      <c r="R51" s="11"/>
      <c r="T51" s="126"/>
      <c r="U51" s="5"/>
      <c r="V51" s="5"/>
      <c r="W51" s="1"/>
      <c r="X51" s="1"/>
      <c r="Y51" s="1"/>
      <c r="Z51" s="1"/>
      <c r="AA51" s="251"/>
      <c r="AB51" s="251"/>
      <c r="AC51" s="251"/>
      <c r="AD51" s="251"/>
      <c r="AE51" s="251"/>
      <c r="AF51" s="251"/>
      <c r="AG51" s="251"/>
      <c r="AH51" s="251"/>
      <c r="AI51" s="1"/>
      <c r="AJ51" s="1"/>
      <c r="AL51" s="122">
        <v>2012</v>
      </c>
      <c r="AO51" s="126"/>
      <c r="AP51" s="135"/>
    </row>
    <row r="52" spans="1:42" ht="17.100000000000001" customHeight="1" x14ac:dyDescent="0.2">
      <c r="A52" s="214" t="s">
        <v>9</v>
      </c>
      <c r="B52" s="215"/>
      <c r="C52" s="217">
        <f>+AM14</f>
        <v>4.4684416309811952E-2</v>
      </c>
      <c r="D52" s="10"/>
      <c r="E52" s="10"/>
      <c r="F52" s="10"/>
      <c r="G52" s="2"/>
      <c r="H52" s="7"/>
      <c r="I52" s="7"/>
      <c r="J52" s="7"/>
      <c r="K52" s="7"/>
      <c r="L52" s="7"/>
      <c r="M52" s="7"/>
      <c r="N52" s="7"/>
      <c r="O52" s="7"/>
      <c r="P52" s="7"/>
      <c r="Q52" s="7"/>
      <c r="R52" s="9"/>
      <c r="T52" s="126"/>
      <c r="U52" s="5"/>
      <c r="V52" s="5"/>
      <c r="W52" s="1"/>
      <c r="X52" s="1"/>
      <c r="Y52" s="1"/>
      <c r="Z52" s="1"/>
      <c r="AA52" s="251"/>
      <c r="AB52" s="251"/>
      <c r="AC52" s="251"/>
      <c r="AD52" s="251"/>
      <c r="AE52" s="251"/>
      <c r="AF52" s="251"/>
      <c r="AG52" s="251"/>
      <c r="AH52" s="251"/>
      <c r="AI52" s="1"/>
      <c r="AJ52" s="1"/>
      <c r="AL52" s="122">
        <v>2017</v>
      </c>
      <c r="AO52" s="126"/>
      <c r="AP52" s="135"/>
    </row>
    <row r="53" spans="1:42" ht="17.100000000000001" customHeight="1" x14ac:dyDescent="0.2">
      <c r="A53" s="218" t="s">
        <v>16</v>
      </c>
      <c r="B53" s="219"/>
      <c r="C53" s="220">
        <f>+AM24</f>
        <v>4.2077825358406255E-2</v>
      </c>
      <c r="D53" s="17"/>
      <c r="E53" s="8"/>
      <c r="F53" s="8"/>
      <c r="G53" s="2"/>
      <c r="H53" s="7"/>
      <c r="I53" s="7"/>
      <c r="J53" s="7"/>
      <c r="K53" s="7"/>
      <c r="L53" s="7"/>
      <c r="M53" s="7"/>
      <c r="N53" s="7"/>
      <c r="O53" s="7"/>
      <c r="P53" s="7"/>
      <c r="Q53" s="7"/>
      <c r="R53" s="9"/>
      <c r="T53" s="126"/>
      <c r="U53" s="5"/>
      <c r="V53" s="5"/>
      <c r="W53" s="1"/>
      <c r="X53" s="1"/>
      <c r="Y53" s="1"/>
      <c r="Z53" s="1"/>
      <c r="AA53" s="251"/>
      <c r="AB53" s="251"/>
      <c r="AC53" s="251"/>
      <c r="AD53" s="251"/>
      <c r="AE53" s="251"/>
      <c r="AF53" s="251"/>
      <c r="AG53" s="251"/>
      <c r="AH53" s="251"/>
      <c r="AI53" s="1"/>
      <c r="AJ53" s="1"/>
      <c r="AL53" s="122">
        <v>2022</v>
      </c>
      <c r="AO53" s="126"/>
      <c r="AP53" s="135"/>
    </row>
    <row r="54" spans="1:42" ht="17.100000000000001" customHeight="1" thickBot="1" x14ac:dyDescent="0.25">
      <c r="A54" s="223" t="s">
        <v>30</v>
      </c>
      <c r="B54" s="224"/>
      <c r="C54" s="225">
        <f>SUM(C44:C53)</f>
        <v>0.75144293427667086</v>
      </c>
      <c r="L54" s="122"/>
      <c r="T54" s="126"/>
      <c r="U54" s="126"/>
      <c r="AA54" s="189"/>
      <c r="AB54" s="189"/>
      <c r="AC54" s="189"/>
      <c r="AD54" s="189"/>
      <c r="AE54" s="189"/>
      <c r="AF54" s="189"/>
      <c r="AG54" s="189"/>
      <c r="AH54" s="189"/>
      <c r="AO54" s="126"/>
      <c r="AP54" s="135"/>
    </row>
    <row r="55" spans="1:42" ht="17.100000000000001" customHeight="1" thickTop="1" x14ac:dyDescent="0.2">
      <c r="L55" s="122"/>
      <c r="T55" s="126"/>
      <c r="U55" s="126"/>
      <c r="AH55" s="122"/>
      <c r="AO55" s="126"/>
      <c r="AP55" s="135"/>
    </row>
    <row r="56" spans="1:42" ht="17.100000000000001" customHeight="1" x14ac:dyDescent="0.2">
      <c r="L56" s="122"/>
      <c r="T56" s="126"/>
      <c r="U56" s="126"/>
      <c r="AH56" s="122"/>
      <c r="AO56" s="126"/>
      <c r="AP56" s="135"/>
    </row>
    <row r="57" spans="1:42" ht="17.100000000000001" customHeight="1" x14ac:dyDescent="0.2">
      <c r="L57" s="122"/>
      <c r="T57" s="126"/>
      <c r="U57" s="126"/>
      <c r="AH57" s="122"/>
      <c r="AO57" s="126"/>
      <c r="AP57" s="135"/>
    </row>
    <row r="58" spans="1:42" ht="17.100000000000001" customHeight="1" x14ac:dyDescent="0.2">
      <c r="L58" s="122"/>
      <c r="T58" s="126"/>
      <c r="U58" s="126"/>
      <c r="AH58" s="122"/>
      <c r="AO58" s="126"/>
      <c r="AP58" s="135"/>
    </row>
    <row r="59" spans="1:42" ht="17.100000000000001" customHeight="1" x14ac:dyDescent="0.2">
      <c r="L59" s="122"/>
      <c r="T59" s="126"/>
      <c r="U59" s="126"/>
      <c r="AH59" s="122"/>
      <c r="AO59" s="126"/>
      <c r="AP59" s="135"/>
    </row>
    <row r="60" spans="1:42" ht="17.100000000000001" customHeight="1" x14ac:dyDescent="0.2">
      <c r="L60" s="122"/>
      <c r="T60" s="126"/>
      <c r="U60" s="126"/>
      <c r="AH60" s="122"/>
      <c r="AO60" s="126"/>
      <c r="AP60" s="135"/>
    </row>
    <row r="61" spans="1:42" ht="17.100000000000001" customHeight="1" x14ac:dyDescent="0.2">
      <c r="L61" s="122"/>
      <c r="T61" s="126"/>
      <c r="U61" s="126"/>
      <c r="AH61" s="122"/>
      <c r="AO61" s="126"/>
    </row>
    <row r="62" spans="1:42" ht="17.100000000000001" customHeight="1" x14ac:dyDescent="0.2">
      <c r="L62" s="122"/>
      <c r="T62" s="126"/>
      <c r="U62" s="126"/>
      <c r="AH62" s="122"/>
      <c r="AO62" s="126"/>
    </row>
    <row r="63" spans="1:42" ht="17.100000000000001" customHeight="1" x14ac:dyDescent="0.2">
      <c r="L63" s="122"/>
      <c r="T63" s="126"/>
      <c r="U63" s="126"/>
      <c r="AH63" s="122"/>
      <c r="AO63" s="126"/>
    </row>
    <row r="64" spans="1:42" ht="17.100000000000001" customHeight="1" x14ac:dyDescent="0.2">
      <c r="L64" s="122"/>
      <c r="T64" s="126"/>
      <c r="AH64" s="122"/>
      <c r="AO64" s="126"/>
    </row>
    <row r="65" spans="12:41" ht="17.100000000000001" customHeight="1" x14ac:dyDescent="0.2">
      <c r="L65" s="122"/>
      <c r="T65" s="126"/>
      <c r="AH65" s="122"/>
      <c r="AO65" s="126"/>
    </row>
    <row r="66" spans="12:41" ht="17.100000000000001" customHeight="1" x14ac:dyDescent="0.2">
      <c r="L66" s="122"/>
      <c r="T66" s="126"/>
      <c r="AH66" s="122"/>
      <c r="AO66" s="126"/>
    </row>
    <row r="67" spans="12:41" ht="17.100000000000001" customHeight="1" x14ac:dyDescent="0.2">
      <c r="L67" s="122"/>
      <c r="T67" s="126"/>
      <c r="AH67" s="122"/>
      <c r="AO67" s="126"/>
    </row>
    <row r="68" spans="12:41" ht="17.100000000000001" customHeight="1" x14ac:dyDescent="0.2">
      <c r="L68" s="122"/>
      <c r="T68" s="126"/>
      <c r="AH68" s="122"/>
      <c r="AO68" s="126"/>
    </row>
    <row r="69" spans="12:41" ht="17.100000000000001" customHeight="1" x14ac:dyDescent="0.2">
      <c r="AA69" s="126"/>
      <c r="AB69" s="126"/>
      <c r="AC69" s="126"/>
      <c r="AD69" s="126"/>
      <c r="AE69" s="126"/>
      <c r="AF69" s="126"/>
      <c r="AH69" s="122"/>
    </row>
    <row r="70" spans="12:41" ht="17.100000000000001" customHeight="1" x14ac:dyDescent="0.2"/>
    <row r="71" spans="12:41" ht="17.100000000000001" customHeight="1" x14ac:dyDescent="0.2"/>
    <row r="72" spans="12:41" ht="17.100000000000001" customHeight="1" x14ac:dyDescent="0.2"/>
    <row r="73" spans="12:41" ht="17.100000000000001" customHeight="1" x14ac:dyDescent="0.2"/>
    <row r="74" spans="12:41" ht="17.100000000000001" customHeight="1" x14ac:dyDescent="0.2"/>
    <row r="75" spans="12:41" ht="17.100000000000001" customHeight="1" x14ac:dyDescent="0.2"/>
    <row r="76" spans="12:41" ht="17.100000000000001" customHeight="1" x14ac:dyDescent="0.2"/>
    <row r="77" spans="12:41" ht="17.100000000000001" customHeight="1" x14ac:dyDescent="0.2"/>
    <row r="78" spans="12:41" ht="17.100000000000001" customHeight="1" x14ac:dyDescent="0.2"/>
    <row r="79" spans="12:41" ht="17.100000000000001" customHeight="1" x14ac:dyDescent="0.2"/>
    <row r="80" spans="12:41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</sheetData>
  <sortState ref="A44:C53">
    <sortCondition descending="1" ref="C44:C53"/>
  </sortState>
  <mergeCells count="10">
    <mergeCell ref="AA44:AB44"/>
    <mergeCell ref="AA45:AB45"/>
    <mergeCell ref="AA41:AB41"/>
    <mergeCell ref="AG40:AH40"/>
    <mergeCell ref="AE40:AF40"/>
    <mergeCell ref="AA42:AB42"/>
    <mergeCell ref="A42:C42"/>
    <mergeCell ref="A43:C43"/>
    <mergeCell ref="AC40:AD40"/>
    <mergeCell ref="AA43:AB43"/>
  </mergeCells>
  <phoneticPr fontId="0" type="noConversion"/>
  <conditionalFormatting sqref="AI8:AI31">
    <cfRule type="cellIs" dxfId="0" priority="3" stopIfTrue="1" operator="between">
      <formula>1</formula>
      <formula>10</formula>
    </cfRule>
  </conditionalFormatting>
  <printOptions horizontalCentered="1"/>
  <pageMargins left="0.75" right="0.75" top="0.75" bottom="0.75" header="0.25" footer="0.25"/>
  <pageSetup scale="61" orientation="portrait" horizontalDpi="300" verticalDpi="300" r:id="rId1"/>
  <headerFooter alignWithMargins="0">
    <oddFooter xml:space="preserve">&amp;L&amp;"Times New Roman,Regular"Source: Fall EIS File&amp;C&amp;"Times New Roman,Bold"D-7.0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D-7.0</vt:lpstr>
      <vt:lpstr>'D-7.0'!Print_Area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University</dc:creator>
  <cp:lastModifiedBy>Robin Gunzelman</cp:lastModifiedBy>
  <cp:lastPrinted>2019-09-30T16:02:18Z</cp:lastPrinted>
  <dcterms:created xsi:type="dcterms:W3CDTF">2003-02-19T16:48:44Z</dcterms:created>
  <dcterms:modified xsi:type="dcterms:W3CDTF">2023-01-06T19:43:58Z</dcterms:modified>
</cp:coreProperties>
</file>