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pt\InstRes\FACTBOOK\2025-26\"/>
    </mc:Choice>
  </mc:AlternateContent>
  <xr:revisionPtr revIDLastSave="0" documentId="13_ncr:1_{3FEC62C2-3E4F-4618-A0B4-DB35CD7D91CD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C-6" sheetId="1" r:id="rId1"/>
    <sheet name="UG_ranked_2025" sheetId="11" r:id="rId2"/>
    <sheet name="Low_productivity_2025" sheetId="12" r:id="rId3"/>
  </sheets>
  <definedNames>
    <definedName name="_xlnm.Print_Area" localSheetId="0">'C-6'!$A$1:$AJ$149</definedName>
    <definedName name="_xlnm.Print_Area" localSheetId="2">Low_productivity_2025!$A$1:$AJ$62</definedName>
    <definedName name="_xlnm.Print_Area" localSheetId="1">UG_ranked_2025!$A$1:$AJ$62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61" i="12" l="1"/>
  <c r="AL61" i="12"/>
  <c r="AM60" i="12"/>
  <c r="AL60" i="12"/>
  <c r="AM57" i="12"/>
  <c r="AL57" i="12"/>
  <c r="AM56" i="12"/>
  <c r="AL56" i="12"/>
  <c r="AM54" i="12"/>
  <c r="AL54" i="12"/>
  <c r="AM51" i="12"/>
  <c r="AL51" i="12"/>
  <c r="AM50" i="12"/>
  <c r="AL50" i="12"/>
  <c r="AM49" i="12"/>
  <c r="AL49" i="12"/>
  <c r="AM48" i="12"/>
  <c r="AL48" i="12"/>
  <c r="AM47" i="12"/>
  <c r="AL47" i="12"/>
  <c r="AM46" i="12"/>
  <c r="AL46" i="12"/>
  <c r="AM45" i="12"/>
  <c r="AL45" i="12"/>
  <c r="AM43" i="12"/>
  <c r="AL43" i="12"/>
  <c r="AL10" i="12"/>
  <c r="AM10" i="12"/>
  <c r="AL11" i="12"/>
  <c r="AM11" i="12"/>
  <c r="AL12" i="12"/>
  <c r="AM12" i="12"/>
  <c r="AL13" i="12"/>
  <c r="AM13" i="12"/>
  <c r="AL14" i="12"/>
  <c r="AM14" i="12"/>
  <c r="AL15" i="12"/>
  <c r="AM15" i="12"/>
  <c r="AL16" i="12"/>
  <c r="AM16" i="12"/>
  <c r="AL17" i="12"/>
  <c r="AM17" i="12"/>
  <c r="AL19" i="12"/>
  <c r="AM19" i="12"/>
  <c r="AM20" i="12"/>
  <c r="AL21" i="12"/>
  <c r="AM21" i="12"/>
  <c r="AL22" i="12"/>
  <c r="AM22" i="12"/>
  <c r="AL23" i="12"/>
  <c r="AM23" i="12"/>
  <c r="AL24" i="12"/>
  <c r="AM24" i="12"/>
  <c r="AL26" i="12"/>
  <c r="AM26" i="12"/>
  <c r="AL27" i="12"/>
  <c r="AM27" i="12"/>
  <c r="AL28" i="12"/>
  <c r="AM28" i="12"/>
  <c r="AM29" i="12"/>
  <c r="AL32" i="12"/>
  <c r="AM32" i="12"/>
  <c r="AL33" i="12"/>
  <c r="AM33" i="12"/>
  <c r="AL35" i="12"/>
  <c r="AM35" i="12"/>
  <c r="AL36" i="12"/>
  <c r="AM36" i="12"/>
  <c r="AL37" i="12"/>
  <c r="AM37" i="12"/>
  <c r="AL38" i="12"/>
  <c r="AM38" i="12"/>
  <c r="AL39" i="12"/>
  <c r="AM39" i="12"/>
  <c r="AL40" i="12"/>
  <c r="AM40" i="12"/>
  <c r="AL9" i="12"/>
  <c r="AM9" i="12"/>
  <c r="AJ61" i="12"/>
  <c r="AI61" i="12" s="1"/>
  <c r="AJ60" i="12"/>
  <c r="AI60" i="12"/>
  <c r="AH60" i="12"/>
  <c r="AG60" i="12"/>
  <c r="AJ59" i="12"/>
  <c r="AG59" i="12"/>
  <c r="AF58" i="12"/>
  <c r="AJ58" i="12" s="1"/>
  <c r="AG58" i="12" s="1"/>
  <c r="U58" i="12"/>
  <c r="S58" i="12"/>
  <c r="R58" i="12"/>
  <c r="AJ57" i="12"/>
  <c r="AG57" i="12" s="1"/>
  <c r="W57" i="12"/>
  <c r="U57" i="12"/>
  <c r="R57" i="12"/>
  <c r="AF56" i="12"/>
  <c r="U56" i="12"/>
  <c r="S56" i="12"/>
  <c r="R56" i="12"/>
  <c r="AF55" i="12"/>
  <c r="AK55" i="12" s="1"/>
  <c r="U55" i="12"/>
  <c r="S55" i="12"/>
  <c r="R55" i="12"/>
  <c r="AJ54" i="12"/>
  <c r="AI54" i="12" s="1"/>
  <c r="AF53" i="12"/>
  <c r="AL53" i="12" s="1"/>
  <c r="W53" i="12"/>
  <c r="U53" i="12"/>
  <c r="S53" i="12"/>
  <c r="R53" i="12"/>
  <c r="AF52" i="12"/>
  <c r="AM52" i="12" s="1"/>
  <c r="W52" i="12"/>
  <c r="U52" i="12"/>
  <c r="S52" i="12"/>
  <c r="R52" i="12"/>
  <c r="AJ51" i="12"/>
  <c r="AI51" i="12" s="1"/>
  <c r="AH51" i="12"/>
  <c r="AG51" i="12"/>
  <c r="W51" i="12"/>
  <c r="R51" i="12"/>
  <c r="AJ50" i="12"/>
  <c r="AI50" i="12"/>
  <c r="AH50" i="12"/>
  <c r="AG50" i="12"/>
  <c r="AF49" i="12"/>
  <c r="AJ49" i="12" s="1"/>
  <c r="AG49" i="12" s="1"/>
  <c r="W49" i="12"/>
  <c r="U49" i="12"/>
  <c r="S49" i="12"/>
  <c r="AJ48" i="12"/>
  <c r="AG48" i="12" s="1"/>
  <c r="AI48" i="12"/>
  <c r="AH48" i="12"/>
  <c r="AJ47" i="12"/>
  <c r="AI47" i="12"/>
  <c r="AH47" i="12"/>
  <c r="AG47" i="12"/>
  <c r="AJ46" i="12"/>
  <c r="AI46" i="12"/>
  <c r="AH46" i="12"/>
  <c r="AG46" i="12"/>
  <c r="AJ45" i="12"/>
  <c r="AI45" i="12"/>
  <c r="AH45" i="12"/>
  <c r="AG45" i="12"/>
  <c r="W45" i="12"/>
  <c r="U45" i="12"/>
  <c r="S45" i="12"/>
  <c r="R45" i="12"/>
  <c r="AJ44" i="12"/>
  <c r="AG44" i="12" s="1"/>
  <c r="AF43" i="12"/>
  <c r="S43" i="12"/>
  <c r="R43" i="12"/>
  <c r="AJ42" i="12"/>
  <c r="AI42" i="12"/>
  <c r="AH42" i="12"/>
  <c r="AG42" i="12"/>
  <c r="AJ41" i="12"/>
  <c r="AJ40" i="12"/>
  <c r="AH40" i="12" s="1"/>
  <c r="AI40" i="12"/>
  <c r="W40" i="12"/>
  <c r="U40" i="12"/>
  <c r="AF39" i="12"/>
  <c r="AJ38" i="12"/>
  <c r="AI38" i="12" s="1"/>
  <c r="AH38" i="12"/>
  <c r="R38" i="12"/>
  <c r="AJ37" i="12"/>
  <c r="AH37" i="12" s="1"/>
  <c r="AI37" i="12"/>
  <c r="AJ36" i="12"/>
  <c r="AH36" i="12" s="1"/>
  <c r="AG36" i="12"/>
  <c r="S36" i="12"/>
  <c r="R36" i="12"/>
  <c r="AJ35" i="12"/>
  <c r="AI35" i="12"/>
  <c r="AH35" i="12"/>
  <c r="AG35" i="12"/>
  <c r="AF34" i="12"/>
  <c r="AK34" i="12" s="1"/>
  <c r="AF33" i="12"/>
  <c r="W33" i="12"/>
  <c r="U33" i="12"/>
  <c r="S33" i="12"/>
  <c r="AJ32" i="12"/>
  <c r="AH32" i="12" s="1"/>
  <c r="AF31" i="12"/>
  <c r="AJ31" i="12" s="1"/>
  <c r="W31" i="12"/>
  <c r="U31" i="12"/>
  <c r="S31" i="12"/>
  <c r="AF30" i="12"/>
  <c r="AJ30" i="12" s="1"/>
  <c r="W30" i="12"/>
  <c r="U30" i="12"/>
  <c r="S30" i="12"/>
  <c r="AJ29" i="12"/>
  <c r="AH29" i="12" s="1"/>
  <c r="AF29" i="12"/>
  <c r="W29" i="12"/>
  <c r="S29" i="12"/>
  <c r="AJ28" i="12"/>
  <c r="AI28" i="12"/>
  <c r="AH28" i="12"/>
  <c r="AG28" i="12"/>
  <c r="AJ27" i="12"/>
  <c r="AH27" i="12" s="1"/>
  <c r="W27" i="12"/>
  <c r="U27" i="12"/>
  <c r="S27" i="12"/>
  <c r="R27" i="12"/>
  <c r="AJ26" i="12"/>
  <c r="AH26" i="12"/>
  <c r="AG26" i="12"/>
  <c r="AF25" i="12"/>
  <c r="AL25" i="12" s="1"/>
  <c r="AJ24" i="12"/>
  <c r="AG24" i="12" s="1"/>
  <c r="AI24" i="12"/>
  <c r="AH24" i="12"/>
  <c r="U24" i="12"/>
  <c r="S24" i="12"/>
  <c r="R24" i="12"/>
  <c r="AJ23" i="12"/>
  <c r="AI23" i="12" s="1"/>
  <c r="AH23" i="12"/>
  <c r="AG23" i="12"/>
  <c r="W23" i="12"/>
  <c r="AF22" i="12"/>
  <c r="W22" i="12"/>
  <c r="U22" i="12"/>
  <c r="R22" i="12"/>
  <c r="AJ21" i="12"/>
  <c r="AH21" i="12" s="1"/>
  <c r="AI21" i="12"/>
  <c r="AF20" i="12"/>
  <c r="AJ20" i="12" s="1"/>
  <c r="AH20" i="12" s="1"/>
  <c r="W20" i="12"/>
  <c r="U20" i="12"/>
  <c r="S20" i="12"/>
  <c r="AJ19" i="12"/>
  <c r="AH19" i="12" s="1"/>
  <c r="AI19" i="12"/>
  <c r="U19" i="12"/>
  <c r="S19" i="12"/>
  <c r="AF18" i="12"/>
  <c r="AM18" i="12" s="1"/>
  <c r="W18" i="12"/>
  <c r="U18" i="12"/>
  <c r="S18" i="12"/>
  <c r="AJ17" i="12"/>
  <c r="AH17" i="12" s="1"/>
  <c r="S17" i="12"/>
  <c r="AJ16" i="12"/>
  <c r="AH16" i="12" s="1"/>
  <c r="AI16" i="12"/>
  <c r="AJ15" i="12"/>
  <c r="AG15" i="12" s="1"/>
  <c r="S15" i="12"/>
  <c r="AJ14" i="12"/>
  <c r="AI14" i="12"/>
  <c r="AH14" i="12"/>
  <c r="AG14" i="12"/>
  <c r="AJ13" i="12"/>
  <c r="AG13" i="12" s="1"/>
  <c r="AI13" i="12"/>
  <c r="AH13" i="12"/>
  <c r="R13" i="12"/>
  <c r="AJ12" i="12"/>
  <c r="AI12" i="12" s="1"/>
  <c r="AJ11" i="12"/>
  <c r="AI11" i="12"/>
  <c r="AH11" i="12"/>
  <c r="AG11" i="12"/>
  <c r="AJ10" i="12"/>
  <c r="AG10" i="12"/>
  <c r="AJ9" i="12"/>
  <c r="AI9" i="12" s="1"/>
  <c r="U9" i="12"/>
  <c r="AJ8" i="12"/>
  <c r="AI8" i="12"/>
  <c r="AH8" i="12"/>
  <c r="AG8" i="12"/>
  <c r="AJ61" i="11"/>
  <c r="AG61" i="11" s="1"/>
  <c r="AJ60" i="11"/>
  <c r="AI60" i="11" s="1"/>
  <c r="AJ59" i="11"/>
  <c r="AG59" i="11" s="1"/>
  <c r="AF58" i="11"/>
  <c r="AJ58" i="11" s="1"/>
  <c r="U58" i="11"/>
  <c r="S58" i="11"/>
  <c r="R58" i="11"/>
  <c r="AJ57" i="11"/>
  <c r="AI57" i="11" s="1"/>
  <c r="W57" i="11"/>
  <c r="U57" i="11"/>
  <c r="R57" i="11"/>
  <c r="AF56" i="11"/>
  <c r="AJ56" i="11" s="1"/>
  <c r="U56" i="11"/>
  <c r="S56" i="11"/>
  <c r="R56" i="11"/>
  <c r="AF55" i="11"/>
  <c r="U55" i="11"/>
  <c r="S55" i="11"/>
  <c r="R55" i="11"/>
  <c r="AJ54" i="11"/>
  <c r="AI54" i="11" s="1"/>
  <c r="AF53" i="11"/>
  <c r="AK53" i="11" s="1"/>
  <c r="W53" i="11"/>
  <c r="U53" i="11"/>
  <c r="S53" i="11"/>
  <c r="R53" i="11"/>
  <c r="AF52" i="11"/>
  <c r="AJ52" i="11" s="1"/>
  <c r="W52" i="11"/>
  <c r="U52" i="11"/>
  <c r="S52" i="11"/>
  <c r="R52" i="11"/>
  <c r="AJ51" i="11"/>
  <c r="AG51" i="11" s="1"/>
  <c r="W51" i="11"/>
  <c r="R51" i="11"/>
  <c r="AJ50" i="11"/>
  <c r="AG50" i="11" s="1"/>
  <c r="AF49" i="11"/>
  <c r="W49" i="11"/>
  <c r="U49" i="11"/>
  <c r="S49" i="11"/>
  <c r="AJ48" i="11"/>
  <c r="AI48" i="11" s="1"/>
  <c r="AJ47" i="11"/>
  <c r="AI47" i="11"/>
  <c r="AH47" i="11"/>
  <c r="AG47" i="11"/>
  <c r="AJ46" i="11"/>
  <c r="AG46" i="11" s="1"/>
  <c r="AJ45" i="11"/>
  <c r="AI45" i="11" s="1"/>
  <c r="W45" i="11"/>
  <c r="U45" i="11"/>
  <c r="S45" i="11"/>
  <c r="R45" i="11"/>
  <c r="AJ44" i="11"/>
  <c r="AF43" i="11"/>
  <c r="AK43" i="11" s="1"/>
  <c r="S43" i="11"/>
  <c r="R43" i="11"/>
  <c r="AJ42" i="11"/>
  <c r="AI42" i="11"/>
  <c r="AH42" i="11"/>
  <c r="AG42" i="11"/>
  <c r="AJ41" i="11"/>
  <c r="AJ40" i="11"/>
  <c r="AG40" i="11" s="1"/>
  <c r="W40" i="11"/>
  <c r="U40" i="11"/>
  <c r="AF39" i="11"/>
  <c r="AJ39" i="11" s="1"/>
  <c r="AJ38" i="11"/>
  <c r="AH38" i="11" s="1"/>
  <c r="R38" i="11"/>
  <c r="AJ37" i="11"/>
  <c r="AH37" i="11" s="1"/>
  <c r="AJ36" i="11"/>
  <c r="AG36" i="11" s="1"/>
  <c r="S36" i="11"/>
  <c r="R36" i="11"/>
  <c r="AJ35" i="11"/>
  <c r="AI35" i="11"/>
  <c r="AH35" i="11"/>
  <c r="AG35" i="11"/>
  <c r="AF34" i="11"/>
  <c r="AF33" i="11"/>
  <c r="AJ33" i="11" s="1"/>
  <c r="W33" i="11"/>
  <c r="U33" i="11"/>
  <c r="S33" i="11"/>
  <c r="AJ32" i="11"/>
  <c r="AG32" i="11" s="1"/>
  <c r="AF31" i="11"/>
  <c r="AK31" i="11" s="1"/>
  <c r="W31" i="11"/>
  <c r="U31" i="11"/>
  <c r="S31" i="11"/>
  <c r="AF30" i="11"/>
  <c r="AK11" i="11" s="1"/>
  <c r="W30" i="11"/>
  <c r="U30" i="11"/>
  <c r="S30" i="11"/>
  <c r="AF29" i="11"/>
  <c r="AJ29" i="11" s="1"/>
  <c r="W29" i="11"/>
  <c r="S29" i="11"/>
  <c r="AJ28" i="11"/>
  <c r="AI28" i="11" s="1"/>
  <c r="AJ27" i="11"/>
  <c r="AI27" i="11" s="1"/>
  <c r="W27" i="11"/>
  <c r="U27" i="11"/>
  <c r="S27" i="11"/>
  <c r="R27" i="11"/>
  <c r="AJ26" i="11"/>
  <c r="AG26" i="11" s="1"/>
  <c r="AF25" i="11"/>
  <c r="AJ25" i="11" s="1"/>
  <c r="AJ24" i="11"/>
  <c r="AG24" i="11" s="1"/>
  <c r="U24" i="11"/>
  <c r="S24" i="11"/>
  <c r="R24" i="11"/>
  <c r="AJ23" i="11"/>
  <c r="AH23" i="11" s="1"/>
  <c r="W23" i="11"/>
  <c r="AF22" i="11"/>
  <c r="AJ22" i="11" s="1"/>
  <c r="W22" i="11"/>
  <c r="U22" i="11"/>
  <c r="R22" i="11"/>
  <c r="AJ21" i="11"/>
  <c r="AH21" i="11" s="1"/>
  <c r="AF20" i="11"/>
  <c r="AJ20" i="11" s="1"/>
  <c r="W20" i="11"/>
  <c r="U20" i="11"/>
  <c r="S20" i="11"/>
  <c r="AJ19" i="11"/>
  <c r="AG19" i="11" s="1"/>
  <c r="U19" i="11"/>
  <c r="S19" i="11"/>
  <c r="AF18" i="11"/>
  <c r="AJ18" i="11" s="1"/>
  <c r="W18" i="11"/>
  <c r="U18" i="11"/>
  <c r="S18" i="11"/>
  <c r="AJ17" i="11"/>
  <c r="AI17" i="11" s="1"/>
  <c r="S17" i="11"/>
  <c r="AJ16" i="11"/>
  <c r="AG16" i="11" s="1"/>
  <c r="AJ15" i="11"/>
  <c r="AG15" i="11" s="1"/>
  <c r="S15" i="11"/>
  <c r="AJ14" i="11"/>
  <c r="AH14" i="11" s="1"/>
  <c r="AJ13" i="11"/>
  <c r="AH13" i="11" s="1"/>
  <c r="R13" i="11"/>
  <c r="AJ12" i="11"/>
  <c r="AH12" i="11" s="1"/>
  <c r="AI12" i="11"/>
  <c r="AJ11" i="11"/>
  <c r="AH11" i="11" s="1"/>
  <c r="AJ10" i="11"/>
  <c r="AG10" i="11" s="1"/>
  <c r="AJ9" i="11"/>
  <c r="AG9" i="11" s="1"/>
  <c r="U9" i="11"/>
  <c r="AJ8" i="11"/>
  <c r="AI8" i="11"/>
  <c r="AH8" i="11"/>
  <c r="AG8" i="11"/>
  <c r="AJ134" i="1"/>
  <c r="AJ133" i="1"/>
  <c r="AI133" i="1" s="1"/>
  <c r="AJ120" i="1"/>
  <c r="AI120" i="1"/>
  <c r="AH120" i="1"/>
  <c r="AG120" i="1"/>
  <c r="AJ119" i="1"/>
  <c r="AI119" i="1"/>
  <c r="AH119" i="1"/>
  <c r="AG119" i="1"/>
  <c r="AJ118" i="1"/>
  <c r="AG118" i="1" s="1"/>
  <c r="AI118" i="1"/>
  <c r="AH118" i="1"/>
  <c r="AJ117" i="1"/>
  <c r="AH117" i="1" s="1"/>
  <c r="AJ116" i="1"/>
  <c r="AH116" i="1" s="1"/>
  <c r="AJ115" i="1"/>
  <c r="AH115" i="1" s="1"/>
  <c r="AI115" i="1"/>
  <c r="AJ114" i="1"/>
  <c r="AH114" i="1" s="1"/>
  <c r="AI114" i="1"/>
  <c r="AJ113" i="1"/>
  <c r="AH113" i="1" s="1"/>
  <c r="AI113" i="1"/>
  <c r="AG113" i="1"/>
  <c r="AJ110" i="1"/>
  <c r="AH110" i="1" s="1"/>
  <c r="AJ109" i="1"/>
  <c r="AI109" i="1" s="1"/>
  <c r="AJ106" i="1"/>
  <c r="AI106" i="1" s="1"/>
  <c r="AJ105" i="1"/>
  <c r="AI105" i="1" s="1"/>
  <c r="AJ104" i="1"/>
  <c r="AI104" i="1" s="1"/>
  <c r="AJ101" i="1"/>
  <c r="AI101" i="1" s="1"/>
  <c r="AJ100" i="1"/>
  <c r="AG100" i="1" s="1"/>
  <c r="AI100" i="1"/>
  <c r="AH100" i="1"/>
  <c r="AJ99" i="1"/>
  <c r="AI99" i="1"/>
  <c r="AH99" i="1"/>
  <c r="AG99" i="1"/>
  <c r="AJ98" i="1"/>
  <c r="AG98" i="1" s="1"/>
  <c r="AI98" i="1"/>
  <c r="AH98" i="1"/>
  <c r="AJ93" i="1"/>
  <c r="AH93" i="1" s="1"/>
  <c r="AJ90" i="1"/>
  <c r="AH90" i="1" s="1"/>
  <c r="AJ89" i="1"/>
  <c r="AJ88" i="1"/>
  <c r="AI88" i="1"/>
  <c r="AH88" i="1"/>
  <c r="AG88" i="1"/>
  <c r="AJ87" i="1"/>
  <c r="AJ84" i="1"/>
  <c r="AI84" i="1" s="1"/>
  <c r="AJ83" i="1"/>
  <c r="AI83" i="1"/>
  <c r="AH83" i="1"/>
  <c r="AG83" i="1"/>
  <c r="AJ72" i="1"/>
  <c r="AG72" i="1" s="1"/>
  <c r="AI72" i="1"/>
  <c r="AH72" i="1"/>
  <c r="AJ71" i="1"/>
  <c r="AG71" i="1" s="1"/>
  <c r="AI71" i="1"/>
  <c r="AH71" i="1"/>
  <c r="AJ70" i="1"/>
  <c r="AI70" i="1"/>
  <c r="AH70" i="1"/>
  <c r="AG70" i="1"/>
  <c r="AJ69" i="1"/>
  <c r="AG69" i="1" s="1"/>
  <c r="AJ67" i="1"/>
  <c r="AH67" i="1" s="1"/>
  <c r="AJ62" i="1"/>
  <c r="AI62" i="1" s="1"/>
  <c r="AJ59" i="1"/>
  <c r="AI59" i="1" s="1"/>
  <c r="AJ58" i="1"/>
  <c r="AG58" i="1" s="1"/>
  <c r="AJ57" i="1"/>
  <c r="AI57" i="1"/>
  <c r="AH57" i="1"/>
  <c r="AG57" i="1"/>
  <c r="AJ53" i="1"/>
  <c r="AH53" i="1" s="1"/>
  <c r="AI53" i="1"/>
  <c r="AJ52" i="1"/>
  <c r="AI52" i="1"/>
  <c r="AH52" i="1"/>
  <c r="AG52" i="1"/>
  <c r="AJ51" i="1"/>
  <c r="AI51" i="1" s="1"/>
  <c r="AJ50" i="1"/>
  <c r="AH50" i="1" s="1"/>
  <c r="AI50" i="1"/>
  <c r="AJ49" i="1"/>
  <c r="AH49" i="1" s="1"/>
  <c r="AI49" i="1"/>
  <c r="AJ47" i="1"/>
  <c r="AI47" i="1"/>
  <c r="AH47" i="1"/>
  <c r="AG47" i="1"/>
  <c r="AJ46" i="1"/>
  <c r="AJ45" i="1"/>
  <c r="AI45" i="1" s="1"/>
  <c r="AJ43" i="1"/>
  <c r="AJ42" i="1"/>
  <c r="AI42" i="1" s="1"/>
  <c r="AG42" i="1"/>
  <c r="AJ41" i="1"/>
  <c r="AI41" i="1" s="1"/>
  <c r="AG41" i="1"/>
  <c r="AJ38" i="1"/>
  <c r="AI38" i="1"/>
  <c r="AH38" i="1"/>
  <c r="AG38" i="1"/>
  <c r="AJ35" i="1"/>
  <c r="AI35" i="1" s="1"/>
  <c r="AJ31" i="1"/>
  <c r="AI31" i="1" s="1"/>
  <c r="AJ30" i="1"/>
  <c r="AJ29" i="1"/>
  <c r="AH29" i="1" s="1"/>
  <c r="AJ27" i="1"/>
  <c r="AH27" i="1" s="1"/>
  <c r="AI27" i="1"/>
  <c r="AJ26" i="1"/>
  <c r="AH26" i="1" s="1"/>
  <c r="AJ24" i="1"/>
  <c r="AH24" i="1" s="1"/>
  <c r="AJ22" i="1"/>
  <c r="AI22" i="1" s="1"/>
  <c r="AJ20" i="1"/>
  <c r="AH20" i="1" s="1"/>
  <c r="AJ19" i="1"/>
  <c r="AI19" i="1"/>
  <c r="AH19" i="1"/>
  <c r="AG19" i="1"/>
  <c r="AJ16" i="1"/>
  <c r="AJ15" i="1"/>
  <c r="AI15" i="1" s="1"/>
  <c r="AJ13" i="1"/>
  <c r="AG13" i="1" s="1"/>
  <c r="AJ12" i="1"/>
  <c r="AI12" i="1" s="1"/>
  <c r="AJ11" i="1"/>
  <c r="AH11" i="1" s="1"/>
  <c r="AJ10" i="1"/>
  <c r="AG10" i="1"/>
  <c r="AJ9" i="1"/>
  <c r="AG9" i="1" s="1"/>
  <c r="AI9" i="1"/>
  <c r="AJ8" i="1"/>
  <c r="AI8" i="1"/>
  <c r="AH8" i="1"/>
  <c r="AG8" i="1"/>
  <c r="AF28" i="1"/>
  <c r="AJ28" i="1" s="1"/>
  <c r="AF25" i="1"/>
  <c r="AJ25" i="1" s="1"/>
  <c r="AF33" i="1"/>
  <c r="AJ33" i="1" s="1"/>
  <c r="AF48" i="1"/>
  <c r="AJ48" i="1" s="1"/>
  <c r="AG48" i="1" s="1"/>
  <c r="AF34" i="1"/>
  <c r="AF44" i="1"/>
  <c r="AF54" i="1" s="1"/>
  <c r="AF32" i="1"/>
  <c r="AF23" i="1"/>
  <c r="AJ23" i="1" s="1"/>
  <c r="AF14" i="1"/>
  <c r="AF17" i="1" s="1"/>
  <c r="AF94" i="1"/>
  <c r="AF95" i="1" s="1"/>
  <c r="AF111" i="1"/>
  <c r="AB135" i="1"/>
  <c r="AC135" i="1"/>
  <c r="AD135" i="1"/>
  <c r="AE135" i="1"/>
  <c r="AF135" i="1"/>
  <c r="AA135" i="1"/>
  <c r="AF36" i="1"/>
  <c r="AJ36" i="1" s="1"/>
  <c r="AF37" i="1"/>
  <c r="AJ37" i="1" s="1"/>
  <c r="AF68" i="1"/>
  <c r="AF73" i="1" s="1"/>
  <c r="AF61" i="1"/>
  <c r="AJ61" i="1" s="1"/>
  <c r="AF21" i="1"/>
  <c r="AF64" i="1"/>
  <c r="AF63" i="1"/>
  <c r="AF60" i="1"/>
  <c r="AJ60" i="1" s="1"/>
  <c r="AF56" i="1"/>
  <c r="AF123" i="1"/>
  <c r="AF125" i="1"/>
  <c r="AF126" i="1"/>
  <c r="AF127" i="1"/>
  <c r="AH127" i="1" s="1"/>
  <c r="AF121" i="1"/>
  <c r="AF107" i="1"/>
  <c r="AF102" i="1"/>
  <c r="AF91" i="1"/>
  <c r="AF85" i="1"/>
  <c r="Y95" i="1"/>
  <c r="AI11" i="1" l="1"/>
  <c r="AI20" i="1"/>
  <c r="AJ94" i="1"/>
  <c r="AG22" i="1"/>
  <c r="AG106" i="1"/>
  <c r="AH13" i="1"/>
  <c r="AH22" i="1"/>
  <c r="AH106" i="1"/>
  <c r="AI13" i="1"/>
  <c r="AI117" i="1"/>
  <c r="AG28" i="1"/>
  <c r="AH28" i="1"/>
  <c r="AI28" i="1"/>
  <c r="AG15" i="1"/>
  <c r="AG51" i="1"/>
  <c r="AH109" i="1"/>
  <c r="AH9" i="1"/>
  <c r="AI24" i="1"/>
  <c r="AG35" i="1"/>
  <c r="AG45" i="1"/>
  <c r="AH51" i="1"/>
  <c r="AK39" i="12"/>
  <c r="AL52" i="12"/>
  <c r="AG12" i="12"/>
  <c r="AK48" i="12"/>
  <c r="AH12" i="12"/>
  <c r="AI15" i="12"/>
  <c r="AG21" i="12"/>
  <c r="AG29" i="12"/>
  <c r="AI36" i="12"/>
  <c r="AG40" i="12"/>
  <c r="AH44" i="12"/>
  <c r="AH57" i="12"/>
  <c r="AM30" i="12"/>
  <c r="AL34" i="12"/>
  <c r="AK56" i="12"/>
  <c r="AG20" i="12"/>
  <c r="AL20" i="12"/>
  <c r="AM31" i="12"/>
  <c r="AM25" i="12"/>
  <c r="AL58" i="12"/>
  <c r="AK61" i="12"/>
  <c r="AK43" i="12"/>
  <c r="AK53" i="12"/>
  <c r="AL31" i="12"/>
  <c r="AM58" i="12"/>
  <c r="AG9" i="12"/>
  <c r="AI29" i="12"/>
  <c r="AI44" i="12"/>
  <c r="AI57" i="12"/>
  <c r="AL30" i="12"/>
  <c r="AL18" i="12"/>
  <c r="AM53" i="12"/>
  <c r="AL55" i="12"/>
  <c r="AM55" i="12"/>
  <c r="AK52" i="12"/>
  <c r="AI25" i="12"/>
  <c r="AI20" i="12"/>
  <c r="AG16" i="12"/>
  <c r="AM34" i="12"/>
  <c r="AK36" i="12"/>
  <c r="AJ25" i="12"/>
  <c r="AK25" i="12"/>
  <c r="AH9" i="12"/>
  <c r="AG19" i="12"/>
  <c r="AG37" i="12"/>
  <c r="AK33" i="12"/>
  <c r="AK44" i="12"/>
  <c r="AL29" i="12"/>
  <c r="AK36" i="11"/>
  <c r="AK58" i="11"/>
  <c r="AK46" i="11"/>
  <c r="AK34" i="11"/>
  <c r="AK22" i="11"/>
  <c r="AK10" i="11"/>
  <c r="AK61" i="11"/>
  <c r="AK25" i="11"/>
  <c r="AK24" i="11"/>
  <c r="AK59" i="11"/>
  <c r="AK35" i="11"/>
  <c r="AK33" i="11"/>
  <c r="AK32" i="11"/>
  <c r="AK55" i="11"/>
  <c r="AK19" i="11"/>
  <c r="AK54" i="11"/>
  <c r="AK42" i="11"/>
  <c r="AK30" i="11"/>
  <c r="AK18" i="11"/>
  <c r="AK49" i="11"/>
  <c r="AK60" i="11"/>
  <c r="AK23" i="11"/>
  <c r="AK45" i="11"/>
  <c r="AK44" i="11"/>
  <c r="AK41" i="11"/>
  <c r="AK29" i="11"/>
  <c r="AK17" i="11"/>
  <c r="AK52" i="11"/>
  <c r="AK40" i="11"/>
  <c r="AK28" i="11"/>
  <c r="AK16" i="11"/>
  <c r="AK37" i="11"/>
  <c r="AK13" i="11"/>
  <c r="AK48" i="11"/>
  <c r="AK12" i="11"/>
  <c r="AK47" i="11"/>
  <c r="AK57" i="11"/>
  <c r="AK21" i="11"/>
  <c r="AK56" i="11"/>
  <c r="AK20" i="11"/>
  <c r="AK51" i="11"/>
  <c r="AK39" i="11"/>
  <c r="AK27" i="11"/>
  <c r="AK15" i="11"/>
  <c r="AK9" i="11"/>
  <c r="AK50" i="11"/>
  <c r="AK38" i="11"/>
  <c r="AK26" i="11"/>
  <c r="AK14" i="11"/>
  <c r="AG37" i="1"/>
  <c r="AI33" i="1"/>
  <c r="AG31" i="1"/>
  <c r="AG26" i="1"/>
  <c r="AH31" i="1"/>
  <c r="AH58" i="1"/>
  <c r="AG90" i="1"/>
  <c r="AG115" i="1"/>
  <c r="AI36" i="1"/>
  <c r="AH37" i="1"/>
  <c r="AI37" i="1"/>
  <c r="AI127" i="1"/>
  <c r="AJ68" i="1"/>
  <c r="AH68" i="1" s="1"/>
  <c r="AF65" i="1"/>
  <c r="AH12" i="1"/>
  <c r="AG20" i="1"/>
  <c r="AI26" i="1"/>
  <c r="AI58" i="1"/>
  <c r="AI90" i="1"/>
  <c r="AG109" i="1"/>
  <c r="AH41" i="1"/>
  <c r="AG94" i="1"/>
  <c r="AG110" i="1"/>
  <c r="AG116" i="1"/>
  <c r="AJ21" i="1"/>
  <c r="AI21" i="1" s="1"/>
  <c r="AG49" i="1"/>
  <c r="AI67" i="1"/>
  <c r="AH94" i="1"/>
  <c r="AH101" i="1"/>
  <c r="AI116" i="1"/>
  <c r="AI43" i="1"/>
  <c r="AH43" i="1"/>
  <c r="AG43" i="1"/>
  <c r="AI87" i="1"/>
  <c r="AH87" i="1"/>
  <c r="AG87" i="1"/>
  <c r="AI25" i="1"/>
  <c r="AH25" i="1"/>
  <c r="AG25" i="1"/>
  <c r="AF96" i="1"/>
  <c r="AI23" i="1"/>
  <c r="AG23" i="1"/>
  <c r="AI16" i="1"/>
  <c r="AH16" i="1"/>
  <c r="AG16" i="1"/>
  <c r="AI30" i="1"/>
  <c r="AH30" i="1"/>
  <c r="AG30" i="1"/>
  <c r="AJ135" i="1"/>
  <c r="AJ32" i="1"/>
  <c r="AH32" i="1" s="1"/>
  <c r="AG32" i="1"/>
  <c r="AI32" i="1"/>
  <c r="AH48" i="1"/>
  <c r="AF124" i="1"/>
  <c r="AF128" i="1" s="1"/>
  <c r="AJ34" i="1"/>
  <c r="AG34" i="1" s="1"/>
  <c r="AJ44" i="1"/>
  <c r="AG44" i="1" s="1"/>
  <c r="AI48" i="1"/>
  <c r="AG60" i="1"/>
  <c r="AJ63" i="1"/>
  <c r="AI63" i="1" s="1"/>
  <c r="AH60" i="1"/>
  <c r="AH15" i="1"/>
  <c r="AG29" i="1"/>
  <c r="AH35" i="1"/>
  <c r="AH42" i="1"/>
  <c r="AH45" i="1"/>
  <c r="AJ56" i="1"/>
  <c r="AI56" i="1" s="1"/>
  <c r="AI60" i="1"/>
  <c r="AH64" i="1"/>
  <c r="AG104" i="1"/>
  <c r="AG12" i="1"/>
  <c r="AH23" i="1"/>
  <c r="AH104" i="1"/>
  <c r="AJ64" i="1"/>
  <c r="AI64" i="1" s="1"/>
  <c r="AG33" i="1"/>
  <c r="AG36" i="1"/>
  <c r="AH61" i="1"/>
  <c r="AG105" i="1"/>
  <c r="AG133" i="1"/>
  <c r="AG24" i="1"/>
  <c r="AG27" i="1"/>
  <c r="AH33" i="1"/>
  <c r="AH36" i="1"/>
  <c r="AG50" i="1"/>
  <c r="AG53" i="1"/>
  <c r="AI61" i="1"/>
  <c r="AG67" i="1"/>
  <c r="AH105" i="1"/>
  <c r="AG114" i="1"/>
  <c r="AG117" i="1"/>
  <c r="AG127" i="1"/>
  <c r="AH133" i="1"/>
  <c r="AG61" i="1"/>
  <c r="AG101" i="1"/>
  <c r="AK10" i="12"/>
  <c r="AH15" i="12"/>
  <c r="AI17" i="12"/>
  <c r="AI27" i="12"/>
  <c r="AK30" i="12"/>
  <c r="AI32" i="12"/>
  <c r="AG38" i="12"/>
  <c r="AK42" i="12"/>
  <c r="AK59" i="12"/>
  <c r="AK32" i="12"/>
  <c r="AK50" i="12"/>
  <c r="AK38" i="12"/>
  <c r="AJ56" i="12"/>
  <c r="AG56" i="12" s="1"/>
  <c r="AK40" i="12"/>
  <c r="AJ53" i="12"/>
  <c r="AH53" i="12" s="1"/>
  <c r="AK60" i="12"/>
  <c r="AK41" i="12"/>
  <c r="AJ43" i="12"/>
  <c r="AG43" i="12" s="1"/>
  <c r="AH49" i="12"/>
  <c r="AJ52" i="12"/>
  <c r="AI52" i="12" s="1"/>
  <c r="AG54" i="12"/>
  <c r="AJ55" i="12"/>
  <c r="AI55" i="12" s="1"/>
  <c r="AH58" i="12"/>
  <c r="AG61" i="12"/>
  <c r="AK47" i="12"/>
  <c r="AI49" i="12"/>
  <c r="AH54" i="12"/>
  <c r="AI58" i="12"/>
  <c r="AH61" i="12"/>
  <c r="AK14" i="12"/>
  <c r="AG25" i="12"/>
  <c r="AH30" i="12"/>
  <c r="AK31" i="12"/>
  <c r="AJ39" i="12"/>
  <c r="AH39" i="12" s="1"/>
  <c r="AK58" i="12"/>
  <c r="AK57" i="12"/>
  <c r="AK17" i="12"/>
  <c r="AK27" i="12"/>
  <c r="AK15" i="12"/>
  <c r="AK20" i="12"/>
  <c r="AK29" i="12"/>
  <c r="AK46" i="12"/>
  <c r="AK13" i="12"/>
  <c r="AJ22" i="12"/>
  <c r="AJ34" i="12"/>
  <c r="AK11" i="12"/>
  <c r="AK22" i="12"/>
  <c r="AK26" i="12"/>
  <c r="AG31" i="12"/>
  <c r="AK19" i="12"/>
  <c r="AH31" i="12"/>
  <c r="AK24" i="12"/>
  <c r="AK28" i="12"/>
  <c r="AI31" i="12"/>
  <c r="AK16" i="12"/>
  <c r="AK21" i="12"/>
  <c r="AG30" i="12"/>
  <c r="AK9" i="12"/>
  <c r="AK12" i="12"/>
  <c r="AG17" i="12"/>
  <c r="AJ18" i="12"/>
  <c r="AH18" i="12" s="1"/>
  <c r="AH25" i="12"/>
  <c r="AG27" i="12"/>
  <c r="AI30" i="12"/>
  <c r="AG32" i="12"/>
  <c r="AJ33" i="12"/>
  <c r="AG33" i="12" s="1"/>
  <c r="AK35" i="12"/>
  <c r="AK37" i="12"/>
  <c r="AK45" i="12"/>
  <c r="AK49" i="12"/>
  <c r="AK51" i="12"/>
  <c r="AK18" i="12"/>
  <c r="AK23" i="12"/>
  <c r="AK54" i="12"/>
  <c r="AI13" i="11"/>
  <c r="AI16" i="11"/>
  <c r="AI37" i="11"/>
  <c r="AI32" i="11"/>
  <c r="AH51" i="11"/>
  <c r="AH40" i="11"/>
  <c r="AI51" i="11"/>
  <c r="AI19" i="11"/>
  <c r="AI23" i="11"/>
  <c r="AI40" i="11"/>
  <c r="AH32" i="11"/>
  <c r="AI38" i="11"/>
  <c r="AH61" i="11"/>
  <c r="AI61" i="11"/>
  <c r="AH15" i="11"/>
  <c r="AI15" i="11"/>
  <c r="AH19" i="11"/>
  <c r="AH46" i="11"/>
  <c r="AJ31" i="11"/>
  <c r="AG31" i="11" s="1"/>
  <c r="AG27" i="11"/>
  <c r="AG12" i="11"/>
  <c r="AH27" i="11"/>
  <c r="AG33" i="11"/>
  <c r="AG48" i="11"/>
  <c r="AI14" i="11"/>
  <c r="AI21" i="11"/>
  <c r="AH24" i="11"/>
  <c r="AH48" i="11"/>
  <c r="AI24" i="11"/>
  <c r="AG45" i="11"/>
  <c r="AG57" i="11"/>
  <c r="AH56" i="11"/>
  <c r="AI56" i="11"/>
  <c r="AG11" i="11"/>
  <c r="AG38" i="11"/>
  <c r="AH45" i="11"/>
  <c r="AI50" i="11"/>
  <c r="AI52" i="11"/>
  <c r="AH57" i="11"/>
  <c r="AI11" i="11"/>
  <c r="AH25" i="11"/>
  <c r="AI46" i="11"/>
  <c r="AH50" i="11"/>
  <c r="AI29" i="11"/>
  <c r="AJ49" i="11"/>
  <c r="AG49" i="11" s="1"/>
  <c r="AH22" i="11"/>
  <c r="AI22" i="11"/>
  <c r="AG14" i="11"/>
  <c r="AG21" i="11"/>
  <c r="AG23" i="11"/>
  <c r="AI25" i="11"/>
  <c r="AH36" i="11"/>
  <c r="AG58" i="11"/>
  <c r="AG22" i="11"/>
  <c r="AJ55" i="11"/>
  <c r="AG55" i="11" s="1"/>
  <c r="AG20" i="11"/>
  <c r="AH20" i="11"/>
  <c r="AI20" i="11"/>
  <c r="AJ53" i="11"/>
  <c r="AH53" i="11" s="1"/>
  <c r="AH16" i="11"/>
  <c r="AH26" i="11"/>
  <c r="AI36" i="11"/>
  <c r="AJ43" i="11"/>
  <c r="AG43" i="11" s="1"/>
  <c r="AG44" i="11"/>
  <c r="AI44" i="11"/>
  <c r="AH44" i="11"/>
  <c r="AJ34" i="11"/>
  <c r="AG34" i="11" s="1"/>
  <c r="AI9" i="11"/>
  <c r="AH9" i="11"/>
  <c r="AG13" i="11"/>
  <c r="AI18" i="11"/>
  <c r="AH18" i="11"/>
  <c r="AG18" i="11"/>
  <c r="AJ30" i="11"/>
  <c r="AH30" i="11" s="1"/>
  <c r="AG25" i="11"/>
  <c r="AI58" i="11"/>
  <c r="AH58" i="11"/>
  <c r="AH60" i="11"/>
  <c r="AG60" i="11"/>
  <c r="AH28" i="11"/>
  <c r="AG28" i="11"/>
  <c r="AG39" i="11"/>
  <c r="AG17" i="11"/>
  <c r="AH39" i="11"/>
  <c r="AH17" i="11"/>
  <c r="AG37" i="11"/>
  <c r="AI39" i="11"/>
  <c r="AH29" i="11"/>
  <c r="AH52" i="11"/>
  <c r="AH54" i="11"/>
  <c r="AG54" i="11"/>
  <c r="AG56" i="11"/>
  <c r="AG29" i="11"/>
  <c r="AG52" i="11"/>
  <c r="AI33" i="11"/>
  <c r="AH33" i="11"/>
  <c r="AG93" i="1"/>
  <c r="AG84" i="1"/>
  <c r="AH84" i="1"/>
  <c r="AG59" i="1"/>
  <c r="AG62" i="1"/>
  <c r="AH59" i="1"/>
  <c r="AH62" i="1"/>
  <c r="AG11" i="1"/>
  <c r="AF39" i="1"/>
  <c r="AG68" i="1" l="1"/>
  <c r="AH56" i="1"/>
  <c r="AH21" i="1"/>
  <c r="AH44" i="1"/>
  <c r="AH43" i="12"/>
  <c r="AH33" i="12"/>
  <c r="AI43" i="12"/>
  <c r="AI33" i="12"/>
  <c r="AG53" i="12"/>
  <c r="AG64" i="1"/>
  <c r="AH34" i="1"/>
  <c r="AG21" i="1"/>
  <c r="AI68" i="1"/>
  <c r="AF74" i="1"/>
  <c r="AF130" i="1" s="1"/>
  <c r="AI44" i="1"/>
  <c r="AH135" i="1"/>
  <c r="AI135" i="1"/>
  <c r="AG135" i="1"/>
  <c r="AI34" i="1"/>
  <c r="AG56" i="1"/>
  <c r="AH63" i="1"/>
  <c r="AG63" i="1"/>
  <c r="AI34" i="12"/>
  <c r="AG34" i="12"/>
  <c r="AH34" i="12"/>
  <c r="AG55" i="12"/>
  <c r="AG18" i="12"/>
  <c r="AI53" i="12"/>
  <c r="AI39" i="12"/>
  <c r="AI18" i="12"/>
  <c r="AG52" i="12"/>
  <c r="AG39" i="12"/>
  <c r="AI56" i="12"/>
  <c r="AH55" i="12"/>
  <c r="AI22" i="12"/>
  <c r="AH22" i="12"/>
  <c r="AG22" i="12"/>
  <c r="AH52" i="12"/>
  <c r="AH56" i="12"/>
  <c r="AI31" i="11"/>
  <c r="AI43" i="11"/>
  <c r="AI30" i="11"/>
  <c r="AH43" i="11"/>
  <c r="AG30" i="11"/>
  <c r="AH31" i="11"/>
  <c r="AG53" i="11"/>
  <c r="AI55" i="11"/>
  <c r="AH55" i="11"/>
  <c r="AI34" i="11"/>
  <c r="AI53" i="11"/>
  <c r="AH49" i="11"/>
  <c r="AI49" i="11"/>
  <c r="AH34" i="11"/>
  <c r="AC111" i="1"/>
  <c r="Z95" i="1" l="1"/>
  <c r="AD111" i="1"/>
  <c r="AB111" i="1"/>
  <c r="AA111" i="1"/>
  <c r="AD95" i="1"/>
  <c r="AC95" i="1"/>
  <c r="AB95" i="1"/>
  <c r="AA95" i="1"/>
  <c r="AE95" i="1"/>
  <c r="Z111" i="1"/>
  <c r="AJ95" i="1" l="1"/>
  <c r="AE39" i="1"/>
  <c r="U111" i="1"/>
  <c r="U95" i="1"/>
  <c r="AE111" i="1"/>
  <c r="AJ111" i="1" s="1"/>
  <c r="AE121" i="1"/>
  <c r="V91" i="1"/>
  <c r="W91" i="1"/>
  <c r="X91" i="1"/>
  <c r="Y91" i="1"/>
  <c r="Z91" i="1"/>
  <c r="AA91" i="1"/>
  <c r="AB91" i="1"/>
  <c r="AC91" i="1"/>
  <c r="AD91" i="1"/>
  <c r="AE91" i="1"/>
  <c r="U91" i="1"/>
  <c r="B39" i="1"/>
  <c r="AG111" i="1" l="1"/>
  <c r="AH111" i="1"/>
  <c r="AI111" i="1"/>
  <c r="AJ91" i="1"/>
  <c r="AI95" i="1"/>
  <c r="AH95" i="1"/>
  <c r="AG95" i="1"/>
  <c r="U127" i="1"/>
  <c r="V127" i="1"/>
  <c r="W127" i="1"/>
  <c r="X127" i="1"/>
  <c r="Y127" i="1"/>
  <c r="Z127" i="1"/>
  <c r="AA127" i="1"/>
  <c r="AB127" i="1"/>
  <c r="AC127" i="1"/>
  <c r="AD127" i="1"/>
  <c r="AJ127" i="1" s="1"/>
  <c r="AE127" i="1"/>
  <c r="AI91" i="1" l="1"/>
  <c r="AG91" i="1"/>
  <c r="AH91" i="1"/>
  <c r="AD126" i="1"/>
  <c r="AD125" i="1"/>
  <c r="AD124" i="1"/>
  <c r="AD123" i="1"/>
  <c r="AJ123" i="1" s="1"/>
  <c r="AD121" i="1"/>
  <c r="AJ121" i="1" s="1"/>
  <c r="AD107" i="1"/>
  <c r="AD102" i="1"/>
  <c r="AD85" i="1"/>
  <c r="AD73" i="1"/>
  <c r="AD65" i="1"/>
  <c r="AD54" i="1"/>
  <c r="AD39" i="1"/>
  <c r="AJ39" i="1" s="1"/>
  <c r="AD14" i="1"/>
  <c r="AD96" i="1" l="1"/>
  <c r="AG39" i="1"/>
  <c r="AG121" i="1"/>
  <c r="AD17" i="1"/>
  <c r="AD128" i="1"/>
  <c r="AD74" i="1" l="1"/>
  <c r="AD130" i="1"/>
  <c r="T54" i="1"/>
  <c r="AC126" i="1" l="1"/>
  <c r="AC125" i="1"/>
  <c r="AC124" i="1"/>
  <c r="AC123" i="1"/>
  <c r="AC121" i="1"/>
  <c r="AC107" i="1"/>
  <c r="AC102" i="1"/>
  <c r="AC85" i="1"/>
  <c r="AC96" i="1" s="1"/>
  <c r="AC73" i="1"/>
  <c r="AC65" i="1"/>
  <c r="AC54" i="1"/>
  <c r="AC39" i="1"/>
  <c r="AC14" i="1"/>
  <c r="Y123" i="1"/>
  <c r="AE123" i="1"/>
  <c r="AG123" i="1" s="1"/>
  <c r="AE124" i="1"/>
  <c r="AJ124" i="1" s="1"/>
  <c r="AE126" i="1"/>
  <c r="AJ126" i="1" s="1"/>
  <c r="AE125" i="1"/>
  <c r="AJ125" i="1" s="1"/>
  <c r="AI125" i="1" l="1"/>
  <c r="AH125" i="1"/>
  <c r="AG125" i="1"/>
  <c r="AI126" i="1"/>
  <c r="AG126" i="1"/>
  <c r="AH126" i="1"/>
  <c r="AG124" i="1"/>
  <c r="AC128" i="1"/>
  <c r="AE128" i="1"/>
  <c r="AJ128" i="1" s="1"/>
  <c r="AC17" i="1"/>
  <c r="AC74" i="1" s="1"/>
  <c r="AB125" i="1"/>
  <c r="AA125" i="1"/>
  <c r="Z125" i="1"/>
  <c r="Y125" i="1"/>
  <c r="X125" i="1"/>
  <c r="W125" i="1"/>
  <c r="V125" i="1"/>
  <c r="U125" i="1"/>
  <c r="T125" i="1"/>
  <c r="S125" i="1"/>
  <c r="AB123" i="1"/>
  <c r="AA123" i="1"/>
  <c r="AH123" i="1" s="1"/>
  <c r="Z123" i="1"/>
  <c r="X123" i="1"/>
  <c r="W123" i="1"/>
  <c r="V123" i="1"/>
  <c r="AI123" i="1" s="1"/>
  <c r="T123" i="1"/>
  <c r="AB126" i="1"/>
  <c r="AB124" i="1"/>
  <c r="AB121" i="1"/>
  <c r="AB107" i="1"/>
  <c r="AB102" i="1"/>
  <c r="AB85" i="1"/>
  <c r="AB96" i="1" s="1"/>
  <c r="AB73" i="1"/>
  <c r="AB65" i="1"/>
  <c r="AB54" i="1"/>
  <c r="AB39" i="1"/>
  <c r="AB14" i="1"/>
  <c r="AB17" i="1" s="1"/>
  <c r="AG128" i="1" l="1"/>
  <c r="AB128" i="1"/>
  <c r="AC130" i="1"/>
  <c r="AB74" i="1"/>
  <c r="AB130" i="1" l="1"/>
  <c r="Y65" i="1"/>
  <c r="Y39" i="1"/>
  <c r="AE14" i="1"/>
  <c r="AJ14" i="1" s="1"/>
  <c r="AA14" i="1"/>
  <c r="AA17" i="1" s="1"/>
  <c r="Z14" i="1"/>
  <c r="Z17" i="1" s="1"/>
  <c r="Y14" i="1"/>
  <c r="Y17" i="1" s="1"/>
  <c r="X14" i="1"/>
  <c r="X17" i="1" s="1"/>
  <c r="W14" i="1"/>
  <c r="W17" i="1" s="1"/>
  <c r="S14" i="1"/>
  <c r="T14" i="1"/>
  <c r="V14" i="1"/>
  <c r="AH14" i="1" l="1"/>
  <c r="AI14" i="1"/>
  <c r="AG14" i="1"/>
  <c r="AE17" i="1"/>
  <c r="AJ17" i="1" s="1"/>
  <c r="AA126" i="1"/>
  <c r="AA124" i="1"/>
  <c r="AH124" i="1" s="1"/>
  <c r="AA121" i="1"/>
  <c r="AH121" i="1" s="1"/>
  <c r="AA107" i="1"/>
  <c r="AA102" i="1"/>
  <c r="AA85" i="1"/>
  <c r="AA96" i="1" s="1"/>
  <c r="AA73" i="1"/>
  <c r="AA65" i="1"/>
  <c r="AA54" i="1"/>
  <c r="AA39" i="1"/>
  <c r="AH39" i="1" s="1"/>
  <c r="AH17" i="1" l="1"/>
  <c r="AG17" i="1"/>
  <c r="AA128" i="1"/>
  <c r="AH128" i="1" s="1"/>
  <c r="AA74" i="1"/>
  <c r="AA130" i="1" l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AI121" i="1" s="1"/>
  <c r="W121" i="1"/>
  <c r="X121" i="1"/>
  <c r="Y121" i="1"/>
  <c r="Z121" i="1"/>
  <c r="B121" i="1"/>
  <c r="Z126" i="1"/>
  <c r="Z124" i="1"/>
  <c r="Z107" i="1"/>
  <c r="Z102" i="1"/>
  <c r="Z85" i="1"/>
  <c r="Z96" i="1" s="1"/>
  <c r="Z73" i="1"/>
  <c r="Z65" i="1"/>
  <c r="Z54" i="1"/>
  <c r="Z39" i="1"/>
  <c r="Z128" i="1" l="1"/>
  <c r="Z74" i="1"/>
  <c r="AE65" i="1"/>
  <c r="AJ65" i="1" s="1"/>
  <c r="AE85" i="1"/>
  <c r="AE73" i="1"/>
  <c r="AJ73" i="1" s="1"/>
  <c r="AE107" i="1"/>
  <c r="AJ107" i="1" s="1"/>
  <c r="AE102" i="1"/>
  <c r="AJ102" i="1" s="1"/>
  <c r="Q54" i="1"/>
  <c r="P54" i="1"/>
  <c r="V54" i="1"/>
  <c r="X54" i="1"/>
  <c r="AE54" i="1"/>
  <c r="AJ54" i="1" s="1"/>
  <c r="Y54" i="1"/>
  <c r="AI54" i="1" l="1"/>
  <c r="AG54" i="1"/>
  <c r="AH54" i="1"/>
  <c r="AH102" i="1"/>
  <c r="AI102" i="1"/>
  <c r="AG102" i="1"/>
  <c r="AI107" i="1"/>
  <c r="AH107" i="1"/>
  <c r="AG107" i="1"/>
  <c r="AG73" i="1"/>
  <c r="AH73" i="1"/>
  <c r="AE96" i="1"/>
  <c r="AJ96" i="1" s="1"/>
  <c r="AJ85" i="1"/>
  <c r="AH65" i="1"/>
  <c r="AG65" i="1"/>
  <c r="AE74" i="1"/>
  <c r="AJ74" i="1" s="1"/>
  <c r="Z130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T73" i="1"/>
  <c r="V73" i="1"/>
  <c r="AI73" i="1" s="1"/>
  <c r="X73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T65" i="1"/>
  <c r="V65" i="1"/>
  <c r="AI65" i="1" s="1"/>
  <c r="X65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T39" i="1"/>
  <c r="V39" i="1"/>
  <c r="AI39" i="1" s="1"/>
  <c r="X39" i="1"/>
  <c r="Y73" i="1"/>
  <c r="X124" i="1"/>
  <c r="W124" i="1"/>
  <c r="V124" i="1"/>
  <c r="AI124" i="1" s="1"/>
  <c r="T124" i="1"/>
  <c r="R124" i="1"/>
  <c r="Q124" i="1"/>
  <c r="P124" i="1"/>
  <c r="O124" i="1"/>
  <c r="N124" i="1"/>
  <c r="M124" i="1"/>
  <c r="L124" i="1"/>
  <c r="J124" i="1"/>
  <c r="I124" i="1"/>
  <c r="H124" i="1"/>
  <c r="G124" i="1"/>
  <c r="F124" i="1"/>
  <c r="E124" i="1"/>
  <c r="D124" i="1"/>
  <c r="C124" i="1"/>
  <c r="B124" i="1"/>
  <c r="Y124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B126" i="1"/>
  <c r="B123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B107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T102" i="1"/>
  <c r="V102" i="1"/>
  <c r="W102" i="1"/>
  <c r="X102" i="1"/>
  <c r="Y102" i="1"/>
  <c r="B102" i="1"/>
  <c r="C91" i="1"/>
  <c r="D91" i="1"/>
  <c r="E91" i="1"/>
  <c r="F91" i="1"/>
  <c r="G91" i="1"/>
  <c r="H91" i="1"/>
  <c r="I91" i="1"/>
  <c r="J91" i="1"/>
  <c r="L91" i="1"/>
  <c r="M91" i="1"/>
  <c r="N91" i="1"/>
  <c r="O91" i="1"/>
  <c r="P91" i="1"/>
  <c r="Q91" i="1"/>
  <c r="R91" i="1"/>
  <c r="S91" i="1"/>
  <c r="T91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U96" i="1" s="1"/>
  <c r="V85" i="1"/>
  <c r="W85" i="1"/>
  <c r="X85" i="1"/>
  <c r="Y85" i="1"/>
  <c r="B85" i="1"/>
  <c r="B91" i="1"/>
  <c r="C14" i="1"/>
  <c r="C17" i="1" s="1"/>
  <c r="D14" i="1"/>
  <c r="D17" i="1" s="1"/>
  <c r="E14" i="1"/>
  <c r="E17" i="1" s="1"/>
  <c r="F14" i="1"/>
  <c r="F17" i="1" s="1"/>
  <c r="G14" i="1"/>
  <c r="G17" i="1" s="1"/>
  <c r="H14" i="1"/>
  <c r="H17" i="1" s="1"/>
  <c r="I14" i="1"/>
  <c r="I17" i="1" s="1"/>
  <c r="J14" i="1"/>
  <c r="J17" i="1" s="1"/>
  <c r="K14" i="1"/>
  <c r="K17" i="1" s="1"/>
  <c r="L14" i="1"/>
  <c r="L17" i="1" s="1"/>
  <c r="M14" i="1"/>
  <c r="M17" i="1" s="1"/>
  <c r="N14" i="1"/>
  <c r="N17" i="1" s="1"/>
  <c r="O14" i="1"/>
  <c r="O17" i="1" s="1"/>
  <c r="P14" i="1"/>
  <c r="P17" i="1" s="1"/>
  <c r="Q14" i="1"/>
  <c r="Q17" i="1" s="1"/>
  <c r="T17" i="1"/>
  <c r="V17" i="1"/>
  <c r="AI17" i="1" s="1"/>
  <c r="B14" i="1"/>
  <c r="B17" i="1" s="1"/>
  <c r="R99" i="1"/>
  <c r="R102" i="1" s="1"/>
  <c r="S99" i="1"/>
  <c r="S123" i="1" s="1"/>
  <c r="U99" i="1"/>
  <c r="U123" i="1" s="1"/>
  <c r="B54" i="1"/>
  <c r="AG74" i="1" l="1"/>
  <c r="AH74" i="1"/>
  <c r="AI85" i="1"/>
  <c r="AG85" i="1"/>
  <c r="AH85" i="1"/>
  <c r="AH96" i="1"/>
  <c r="AG96" i="1"/>
  <c r="W128" i="1"/>
  <c r="Y128" i="1"/>
  <c r="X128" i="1"/>
  <c r="V128" i="1"/>
  <c r="AI128" i="1" s="1"/>
  <c r="I128" i="1"/>
  <c r="B96" i="1"/>
  <c r="C128" i="1"/>
  <c r="E128" i="1"/>
  <c r="T128" i="1"/>
  <c r="P128" i="1"/>
  <c r="O128" i="1"/>
  <c r="X96" i="1"/>
  <c r="T96" i="1"/>
  <c r="P96" i="1"/>
  <c r="L96" i="1"/>
  <c r="K74" i="1"/>
  <c r="G128" i="1"/>
  <c r="Q128" i="1"/>
  <c r="M128" i="1"/>
  <c r="G96" i="1"/>
  <c r="C96" i="1"/>
  <c r="H128" i="1"/>
  <c r="D128" i="1"/>
  <c r="L128" i="1"/>
  <c r="G74" i="1"/>
  <c r="C74" i="1"/>
  <c r="O74" i="1"/>
  <c r="Y96" i="1"/>
  <c r="Q96" i="1"/>
  <c r="M96" i="1"/>
  <c r="H96" i="1"/>
  <c r="D96" i="1"/>
  <c r="T74" i="1"/>
  <c r="P74" i="1"/>
  <c r="L74" i="1"/>
  <c r="H74" i="1"/>
  <c r="D74" i="1"/>
  <c r="W96" i="1"/>
  <c r="S96" i="1"/>
  <c r="O96" i="1"/>
  <c r="J96" i="1"/>
  <c r="F96" i="1"/>
  <c r="R123" i="1"/>
  <c r="R128" i="1" s="1"/>
  <c r="B128" i="1"/>
  <c r="F128" i="1"/>
  <c r="J128" i="1"/>
  <c r="N128" i="1"/>
  <c r="V74" i="1"/>
  <c r="AI74" i="1" s="1"/>
  <c r="N74" i="1"/>
  <c r="J74" i="1"/>
  <c r="F74" i="1"/>
  <c r="B74" i="1"/>
  <c r="V96" i="1"/>
  <c r="AI96" i="1" s="1"/>
  <c r="R96" i="1"/>
  <c r="N96" i="1"/>
  <c r="I96" i="1"/>
  <c r="E96" i="1"/>
  <c r="Q74" i="1"/>
  <c r="M74" i="1"/>
  <c r="I74" i="1"/>
  <c r="E74" i="1"/>
  <c r="B130" i="1" l="1"/>
  <c r="AE130" i="1"/>
  <c r="AJ130" i="1" s="1"/>
  <c r="Y74" i="1"/>
  <c r="Q130" i="1"/>
  <c r="H130" i="1"/>
  <c r="X74" i="1"/>
  <c r="E130" i="1"/>
  <c r="I130" i="1"/>
  <c r="T130" i="1"/>
  <c r="C130" i="1"/>
  <c r="L130" i="1"/>
  <c r="O130" i="1"/>
  <c r="F130" i="1"/>
  <c r="P130" i="1"/>
  <c r="M130" i="1"/>
  <c r="G130" i="1"/>
  <c r="D130" i="1"/>
  <c r="V130" i="1"/>
  <c r="J130" i="1"/>
  <c r="N130" i="1"/>
  <c r="AH130" i="1" l="1"/>
  <c r="AI130" i="1"/>
  <c r="AG130" i="1"/>
  <c r="Y130" i="1"/>
  <c r="X130" i="1"/>
  <c r="W36" i="1"/>
  <c r="W34" i="1"/>
  <c r="W33" i="1"/>
  <c r="W32" i="1"/>
  <c r="W50" i="1"/>
  <c r="W30" i="1"/>
  <c r="W61" i="1"/>
  <c r="W70" i="1"/>
  <c r="W26" i="1"/>
  <c r="W60" i="1"/>
  <c r="W25" i="1"/>
  <c r="W23" i="1"/>
  <c r="W59" i="1"/>
  <c r="W45" i="1"/>
  <c r="W67" i="1"/>
  <c r="W21" i="1"/>
  <c r="W56" i="1"/>
  <c r="R43" i="1"/>
  <c r="U100" i="1"/>
  <c r="U22" i="1"/>
  <c r="U30" i="1"/>
  <c r="U25" i="1"/>
  <c r="U33" i="1"/>
  <c r="U27" i="1"/>
  <c r="U34" i="1"/>
  <c r="U45" i="1"/>
  <c r="U50" i="1"/>
  <c r="U23" i="1"/>
  <c r="U36" i="1"/>
  <c r="U70" i="1"/>
  <c r="U9" i="1"/>
  <c r="U67" i="1"/>
  <c r="U68" i="1"/>
  <c r="U61" i="1"/>
  <c r="U21" i="1"/>
  <c r="U64" i="1"/>
  <c r="U63" i="1"/>
  <c r="U60" i="1"/>
  <c r="U56" i="1"/>
  <c r="S100" i="1"/>
  <c r="S30" i="1"/>
  <c r="S22" i="1"/>
  <c r="S48" i="1"/>
  <c r="S33" i="1"/>
  <c r="S27" i="1"/>
  <c r="S16" i="1"/>
  <c r="S34" i="1"/>
  <c r="S50" i="1"/>
  <c r="S32" i="1"/>
  <c r="S23" i="1"/>
  <c r="S36" i="1"/>
  <c r="S20" i="1"/>
  <c r="S68" i="1"/>
  <c r="S61" i="1"/>
  <c r="S21" i="1"/>
  <c r="S64" i="1"/>
  <c r="S63" i="1"/>
  <c r="S57" i="1"/>
  <c r="S60" i="1"/>
  <c r="S56" i="1"/>
  <c r="S41" i="1"/>
  <c r="R13" i="1"/>
  <c r="R14" i="1" s="1"/>
  <c r="R17" i="1" s="1"/>
  <c r="R64" i="1"/>
  <c r="R63" i="1"/>
  <c r="R50" i="1"/>
  <c r="R30" i="1"/>
  <c r="R61" i="1"/>
  <c r="R70" i="1"/>
  <c r="R27" i="1"/>
  <c r="R48" i="1"/>
  <c r="R60" i="1"/>
  <c r="R25" i="1"/>
  <c r="R68" i="1"/>
  <c r="R59" i="1"/>
  <c r="R67" i="1"/>
  <c r="R41" i="1"/>
  <c r="K90" i="1"/>
  <c r="U14" i="1" l="1"/>
  <c r="W73" i="1"/>
  <c r="W54" i="1"/>
  <c r="R65" i="1"/>
  <c r="S17" i="1"/>
  <c r="S73" i="1"/>
  <c r="R39" i="1"/>
  <c r="R54" i="1"/>
  <c r="S124" i="1"/>
  <c r="U124" i="1"/>
  <c r="U54" i="1"/>
  <c r="S54" i="1"/>
  <c r="K91" i="1"/>
  <c r="K96" i="1" s="1"/>
  <c r="K124" i="1"/>
  <c r="K128" i="1" s="1"/>
  <c r="K130" i="1" s="1"/>
  <c r="S65" i="1"/>
  <c r="U73" i="1"/>
  <c r="W65" i="1"/>
  <c r="S39" i="1"/>
  <c r="R73" i="1"/>
  <c r="U65" i="1"/>
  <c r="U39" i="1"/>
  <c r="W39" i="1"/>
  <c r="S102" i="1"/>
  <c r="U102" i="1"/>
  <c r="U128" i="1" l="1"/>
  <c r="S128" i="1"/>
  <c r="R74" i="1"/>
  <c r="U17" i="1"/>
  <c r="S74" i="1"/>
  <c r="W74" i="1"/>
  <c r="S130" i="1" l="1"/>
  <c r="R130" i="1"/>
  <c r="U74" i="1"/>
  <c r="W130" i="1"/>
  <c r="U130" i="1" l="1"/>
</calcChain>
</file>

<file path=xl/sharedStrings.xml><?xml version="1.0" encoding="utf-8"?>
<sst xmlns="http://schemas.openxmlformats.org/spreadsheetml/2006/main" count="475" uniqueCount="181">
  <si>
    <t>Accounting</t>
  </si>
  <si>
    <t>Art</t>
  </si>
  <si>
    <t>Biology</t>
  </si>
  <si>
    <t>Chemistry</t>
  </si>
  <si>
    <t>Computer Science</t>
  </si>
  <si>
    <t>Conflict Analysis/Dispute Resolution</t>
  </si>
  <si>
    <t>Economics</t>
  </si>
  <si>
    <t>Early Childhood Education</t>
  </si>
  <si>
    <t>Elementary Education</t>
  </si>
  <si>
    <t>English</t>
  </si>
  <si>
    <t>Exercise Science</t>
  </si>
  <si>
    <t>Finance</t>
  </si>
  <si>
    <t>French</t>
  </si>
  <si>
    <t>Geography</t>
  </si>
  <si>
    <t>History</t>
  </si>
  <si>
    <t>International Studies</t>
  </si>
  <si>
    <t>Management</t>
  </si>
  <si>
    <t>Marketing</t>
  </si>
  <si>
    <t>Mathematics</t>
  </si>
  <si>
    <t>Music</t>
  </si>
  <si>
    <t>Philosophy</t>
  </si>
  <si>
    <t>Physical Education</t>
  </si>
  <si>
    <t>Physics</t>
  </si>
  <si>
    <t>Political Science</t>
  </si>
  <si>
    <t>Psychology</t>
  </si>
  <si>
    <t>Respiratory Therapy</t>
  </si>
  <si>
    <t>Sociology</t>
  </si>
  <si>
    <t>Spanish</t>
  </si>
  <si>
    <t>Theatre</t>
  </si>
  <si>
    <t>Masters</t>
  </si>
  <si>
    <t>Education, Reading Specialist</t>
  </si>
  <si>
    <t>Art (B.F.A)</t>
  </si>
  <si>
    <t>95-96</t>
  </si>
  <si>
    <t>05-06</t>
  </si>
  <si>
    <t>01-02</t>
  </si>
  <si>
    <t>02-03</t>
  </si>
  <si>
    <t>03-04</t>
  </si>
  <si>
    <t>04-05</t>
  </si>
  <si>
    <t>96-97</t>
  </si>
  <si>
    <t>97-98</t>
  </si>
  <si>
    <t>98-99</t>
  </si>
  <si>
    <t>99-00</t>
  </si>
  <si>
    <t>00-01</t>
  </si>
  <si>
    <t>06-07</t>
  </si>
  <si>
    <t>07-08</t>
  </si>
  <si>
    <t>English for Speakers of Other Languages</t>
  </si>
  <si>
    <t>ESOL</t>
  </si>
  <si>
    <t>08-09</t>
  </si>
  <si>
    <t>Post-Baccalaureate Certificate</t>
  </si>
  <si>
    <t>Environmental Studies</t>
  </si>
  <si>
    <t>09-10</t>
  </si>
  <si>
    <t>Low Productivity Programs</t>
  </si>
  <si>
    <t>Earth Science</t>
  </si>
  <si>
    <t>10-11</t>
  </si>
  <si>
    <t>11-12</t>
  </si>
  <si>
    <t>Latitude, Longitude</t>
  </si>
  <si>
    <t>38.345157,-75.605421</t>
  </si>
  <si>
    <t>12-13</t>
  </si>
  <si>
    <t>13-14</t>
  </si>
  <si>
    <t>14-15</t>
  </si>
  <si>
    <t>15-16</t>
  </si>
  <si>
    <t>Information Systems</t>
  </si>
  <si>
    <t>16-17</t>
  </si>
  <si>
    <t>Medical Laboratory Science</t>
  </si>
  <si>
    <t>17-18</t>
  </si>
  <si>
    <t>School and Degree</t>
  </si>
  <si>
    <t>UNDERGRADUATE</t>
  </si>
  <si>
    <t>College of Health and Human Services</t>
  </si>
  <si>
    <t>School of Health Sciences</t>
  </si>
  <si>
    <t>Health Sciences Subtotal</t>
  </si>
  <si>
    <t>School of Nursing</t>
  </si>
  <si>
    <t>College of Health and Human Services Total</t>
  </si>
  <si>
    <t>Fulton School of Liberal Arts</t>
  </si>
  <si>
    <t>Fulton Subtotal</t>
  </si>
  <si>
    <t>Henson School of Science &amp; Technology</t>
  </si>
  <si>
    <t>Henson Subtotal</t>
  </si>
  <si>
    <t>Perdue School of Business</t>
  </si>
  <si>
    <t>Perdue Subtotal</t>
  </si>
  <si>
    <t>Seidel School of Education</t>
  </si>
  <si>
    <t>Seidel Subtotal</t>
  </si>
  <si>
    <t xml:space="preserve">  TOTAL Baccalaureate Degrees Awarded</t>
  </si>
  <si>
    <t>GRADUATE</t>
  </si>
  <si>
    <t>94-95</t>
  </si>
  <si>
    <t>School of Nursing Subtotal</t>
  </si>
  <si>
    <t>English M.A.</t>
  </si>
  <si>
    <t>History M.A.</t>
  </si>
  <si>
    <t>GIS Management M.S.</t>
  </si>
  <si>
    <t>Mathematics Education M.S.</t>
  </si>
  <si>
    <t>Perdue School of Business M.B.A.</t>
  </si>
  <si>
    <t>Education, M.A. in Teaching</t>
  </si>
  <si>
    <t>Post-Master's Certificates</t>
  </si>
  <si>
    <t>Doctoral</t>
  </si>
  <si>
    <t>Graduate Degrees Awarded by Type</t>
  </si>
  <si>
    <t xml:space="preserve">  TOTAL Graduate Level Degrees Awarded</t>
  </si>
  <si>
    <t>Salisbury University TOTAL Degrees Awarded</t>
  </si>
  <si>
    <t>18-19</t>
  </si>
  <si>
    <t>Educational Leadership Masters</t>
  </si>
  <si>
    <t>Upper Division Certicates Awarded</t>
  </si>
  <si>
    <t>19-20</t>
  </si>
  <si>
    <t>20-21</t>
  </si>
  <si>
    <t>Communication</t>
  </si>
  <si>
    <t>Conflict Analysis &amp; Dispute Resolution M.A.</t>
  </si>
  <si>
    <t>21-22</t>
  </si>
  <si>
    <t>&lt;5</t>
  </si>
  <si>
    <t>Least Degrees Awarded (five degrees or less)</t>
  </si>
  <si>
    <t>&lt;15 last 3 years</t>
  </si>
  <si>
    <t>22-23</t>
  </si>
  <si>
    <t>RANK</t>
  </si>
  <si>
    <t>23-24</t>
  </si>
  <si>
    <r>
      <t>Social Science</t>
    </r>
    <r>
      <rPr>
        <vertAlign val="superscript"/>
        <sz val="9"/>
        <color indexed="8"/>
        <rFont val="Arial"/>
        <family val="2"/>
      </rPr>
      <t>4</t>
    </r>
  </si>
  <si>
    <r>
      <t>Physical Science</t>
    </r>
    <r>
      <rPr>
        <vertAlign val="superscript"/>
        <sz val="9"/>
        <color indexed="8"/>
        <rFont val="Arial"/>
        <family val="2"/>
      </rPr>
      <t>4</t>
    </r>
  </si>
  <si>
    <t>Post-Doctoral Certificates</t>
  </si>
  <si>
    <t>AY</t>
  </si>
  <si>
    <t>School and Degree Program</t>
  </si>
  <si>
    <t>Program Notes:</t>
  </si>
  <si>
    <t>5-year change¹</t>
  </si>
  <si>
    <t>10-year change¹</t>
  </si>
  <si>
    <t>Athletic Training²</t>
  </si>
  <si>
    <t>Public Health³</t>
  </si>
  <si>
    <r>
      <t>Health Science</t>
    </r>
    <r>
      <rPr>
        <sz val="6"/>
        <color rgb="FF000000"/>
        <rFont val="Arial"/>
        <family val="2"/>
      </rPr>
      <t xml:space="preserve"> (new in 2022)</t>
    </r>
  </si>
  <si>
    <t>School of Nursing - BSN</t>
  </si>
  <si>
    <t>School of Social Work - BASW</t>
  </si>
  <si>
    <r>
      <t>Social Work MSW Online</t>
    </r>
    <r>
      <rPr>
        <sz val="6"/>
        <color rgb="FF000000"/>
        <rFont val="Arial"/>
        <family val="2"/>
      </rPr>
      <t xml:space="preserve"> (new in 2015)</t>
    </r>
  </si>
  <si>
    <t>Interdisciplinary Studies B.A.</t>
  </si>
  <si>
    <t>Interdisciplinary Studies B.S.</t>
  </si>
  <si>
    <r>
      <t xml:space="preserve">Data Science </t>
    </r>
    <r>
      <rPr>
        <sz val="6"/>
        <color rgb="FF000000"/>
        <rFont val="Arial"/>
        <family val="2"/>
      </rPr>
      <t>(new in 2020)</t>
    </r>
  </si>
  <si>
    <r>
      <t xml:space="preserve">Integrated Science </t>
    </r>
    <r>
      <rPr>
        <sz val="6"/>
        <color rgb="FF000000"/>
        <rFont val="Arial"/>
        <family val="2"/>
      </rPr>
      <t>(new in 2020)</t>
    </r>
  </si>
  <si>
    <r>
      <t xml:space="preserve">Urban Planning </t>
    </r>
    <r>
      <rPr>
        <sz val="6"/>
        <color rgb="FF000000"/>
        <rFont val="Arial"/>
        <family val="2"/>
      </rPr>
      <t>(new in 2017)</t>
    </r>
  </si>
  <si>
    <t>Environmental Health²</t>
  </si>
  <si>
    <r>
      <t xml:space="preserve">International Business </t>
    </r>
    <r>
      <rPr>
        <sz val="6"/>
        <color rgb="FF000000"/>
        <rFont val="Arial"/>
        <family val="2"/>
      </rPr>
      <t>(new in 2013)</t>
    </r>
  </si>
  <si>
    <r>
      <t>Outdoor Educational Leadership</t>
    </r>
    <r>
      <rPr>
        <sz val="8"/>
        <color rgb="FF000000"/>
        <rFont val="Arial"/>
        <family val="2"/>
      </rPr>
      <t xml:space="preserve"> </t>
    </r>
    <r>
      <rPr>
        <sz val="6"/>
        <color rgb="FF000000"/>
        <rFont val="Arial"/>
        <family val="2"/>
      </rPr>
      <t>(new in 2019)</t>
    </r>
  </si>
  <si>
    <t xml:space="preserve">AY </t>
  </si>
  <si>
    <t>Health Care Management PBC</t>
  </si>
  <si>
    <t>Nursing MSN</t>
  </si>
  <si>
    <t>School of Social Work</t>
  </si>
  <si>
    <t>School of Social Work Subtotal</t>
  </si>
  <si>
    <t>English for Speakers of Other Languages PBC</t>
  </si>
  <si>
    <t>Applied Biology M.S.</t>
  </si>
  <si>
    <r>
      <t xml:space="preserve">Business Administration MBA Online </t>
    </r>
    <r>
      <rPr>
        <sz val="6"/>
        <color rgb="FF000000"/>
        <rFont val="Arial"/>
        <family val="2"/>
      </rPr>
      <t>(new in 2015)</t>
    </r>
  </si>
  <si>
    <t>Business Administration MBA Traditional</t>
  </si>
  <si>
    <t>Most Degrees Awarded (Top 5)</t>
  </si>
  <si>
    <r>
      <t xml:space="preserve">Elementary-Early Childhood Dual Certification </t>
    </r>
    <r>
      <rPr>
        <sz val="6"/>
        <color rgb="FF000000"/>
        <rFont val="Arial"/>
        <family val="2"/>
      </rPr>
      <t>(new in 2023)</t>
    </r>
  </si>
  <si>
    <t>3 Year Average*</t>
  </si>
  <si>
    <r>
      <t xml:space="preserve">Urban and Regional Planning </t>
    </r>
    <r>
      <rPr>
        <sz val="6"/>
        <color rgb="FF000000"/>
        <rFont val="Arial"/>
        <family val="2"/>
      </rPr>
      <t>(new in 2017)</t>
    </r>
  </si>
  <si>
    <t>Urban and Regional Planning</t>
  </si>
  <si>
    <r>
      <t>1-year change</t>
    </r>
    <r>
      <rPr>
        <b/>
        <sz val="8"/>
        <color indexed="8"/>
        <rFont val="Calibri"/>
        <family val="2"/>
      </rPr>
      <t>¹</t>
    </r>
  </si>
  <si>
    <t>Social Work MSW</t>
  </si>
  <si>
    <t>24-25</t>
  </si>
  <si>
    <t>Business Economics</t>
  </si>
  <si>
    <r>
      <rPr>
        <sz val="9"/>
        <color rgb="FF000000"/>
        <rFont val="Arial"/>
        <family val="2"/>
      </rPr>
      <t>Engineering Physics</t>
    </r>
    <r>
      <rPr>
        <sz val="6"/>
        <color indexed="8"/>
        <rFont val="Arial"/>
        <family val="2"/>
      </rPr>
      <t xml:space="preserve"> </t>
    </r>
    <r>
      <rPr>
        <sz val="6"/>
        <color rgb="FF000000"/>
        <rFont val="Arial"/>
        <family val="2"/>
      </rPr>
      <t>(new in 2024)</t>
    </r>
  </si>
  <si>
    <r>
      <t xml:space="preserve">Pre-Medical UDC </t>
    </r>
    <r>
      <rPr>
        <sz val="6"/>
        <color rgb="FF000000"/>
        <rFont val="Arial"/>
        <family val="2"/>
      </rPr>
      <t>(new in 2024)</t>
    </r>
  </si>
  <si>
    <t>TOTAL Upper Division Certificates</t>
  </si>
  <si>
    <t xml:space="preserve">             Degrees Awarded by College, School, and Program: AY 2014-15, AY 2019-20 to AY 2024-25</t>
  </si>
  <si>
    <t>New Program</t>
  </si>
  <si>
    <t xml:space="preserve">Social Work </t>
  </si>
  <si>
    <t>Nursing</t>
  </si>
  <si>
    <t>Highlighted Programs:  Undergraduate Degrees Awarded 2024-25</t>
  </si>
  <si>
    <t>Education, Curriculum &amp; Instruction</t>
  </si>
  <si>
    <r>
      <rPr>
        <vertAlign val="superscript"/>
        <sz val="8"/>
        <color rgb="FF000000"/>
        <rFont val="Arial"/>
        <family val="2"/>
      </rPr>
      <t>1</t>
    </r>
    <r>
      <rPr>
        <sz val="8"/>
        <color indexed="8"/>
        <rFont val="Arial"/>
        <family val="2"/>
      </rPr>
      <t>Three-year average is not calculated for new programs.</t>
    </r>
  </si>
  <si>
    <r>
      <rPr>
        <vertAlign val="superscript"/>
        <sz val="8"/>
        <color rgb="FF000000"/>
        <rFont val="Arial"/>
        <family val="2"/>
      </rPr>
      <t>2</t>
    </r>
    <r>
      <rPr>
        <sz val="8"/>
        <color indexed="8"/>
        <rFont val="Arial"/>
        <family val="2"/>
      </rPr>
      <t>Percent change is not provided for programs with 20 students or less.</t>
    </r>
  </si>
  <si>
    <r>
      <t>1-year change</t>
    </r>
    <r>
      <rPr>
        <b/>
        <vertAlign val="superscript"/>
        <sz val="8"/>
        <color rgb="FF000000"/>
        <rFont val="Arial"/>
        <family val="2"/>
      </rPr>
      <t>2</t>
    </r>
  </si>
  <si>
    <r>
      <t>5-year change</t>
    </r>
    <r>
      <rPr>
        <b/>
        <vertAlign val="superscript"/>
        <sz val="8"/>
        <color rgb="FF000000"/>
        <rFont val="Arial"/>
        <family val="2"/>
      </rPr>
      <t>2</t>
    </r>
  </si>
  <si>
    <r>
      <t>10-year change</t>
    </r>
    <r>
      <rPr>
        <b/>
        <vertAlign val="superscript"/>
        <sz val="8"/>
        <color rgb="FF000000"/>
        <rFont val="Arial"/>
        <family val="2"/>
      </rPr>
      <t>2</t>
    </r>
  </si>
  <si>
    <t>Health and Human Performance MS</t>
  </si>
  <si>
    <r>
      <t>3</t>
    </r>
    <r>
      <rPr>
        <sz val="8"/>
        <color indexed="8"/>
        <rFont val="Arial"/>
        <family val="2"/>
      </rPr>
      <t>Suspended program, but not discontinued.</t>
    </r>
  </si>
  <si>
    <r>
      <rPr>
        <vertAlign val="superscript"/>
        <sz val="8"/>
        <color rgb="FF000000"/>
        <rFont val="Arial"/>
        <family val="2"/>
      </rPr>
      <t>4</t>
    </r>
    <r>
      <rPr>
        <sz val="8"/>
        <color indexed="8"/>
        <rFont val="Arial"/>
        <family val="2"/>
      </rPr>
      <t>Program transitioned from Health Education to Community Health in 2014; then transititioned to Public Health in 2021</t>
    </r>
  </si>
  <si>
    <r>
      <t>Health Education</t>
    </r>
    <r>
      <rPr>
        <vertAlign val="superscript"/>
        <sz val="9"/>
        <color rgb="FF000000"/>
        <rFont val="Arial"/>
        <family val="2"/>
      </rPr>
      <t>4</t>
    </r>
  </si>
  <si>
    <r>
      <t>Public Health</t>
    </r>
    <r>
      <rPr>
        <vertAlign val="superscript"/>
        <sz val="9"/>
        <color rgb="FF000000"/>
        <rFont val="Arial"/>
        <family val="2"/>
      </rPr>
      <t>4</t>
    </r>
  </si>
  <si>
    <r>
      <t>Athletic Training</t>
    </r>
    <r>
      <rPr>
        <vertAlign val="superscript"/>
        <sz val="9"/>
        <color rgb="FF000000"/>
        <rFont val="Arial"/>
        <family val="2"/>
      </rPr>
      <t>3</t>
    </r>
  </si>
  <si>
    <r>
      <t>Athletic Training MSAT</t>
    </r>
    <r>
      <rPr>
        <vertAlign val="superscript"/>
        <sz val="9"/>
        <color rgb="FF000000"/>
        <rFont val="Arial"/>
        <family val="2"/>
      </rPr>
      <t>3</t>
    </r>
    <r>
      <rPr>
        <sz val="9"/>
        <color indexed="8"/>
        <rFont val="Arial"/>
        <family val="2"/>
      </rPr>
      <t xml:space="preserve"> </t>
    </r>
    <r>
      <rPr>
        <sz val="6"/>
        <color rgb="FF000000"/>
        <rFont val="Arial"/>
        <family val="2"/>
      </rPr>
      <t>(new in 2016, currently suspended)</t>
    </r>
  </si>
  <si>
    <r>
      <t xml:space="preserve">Fraud and Forensic Accounting </t>
    </r>
    <r>
      <rPr>
        <sz val="7"/>
        <color rgb="FF000000"/>
        <rFont val="Arial"/>
        <family val="2"/>
      </rPr>
      <t>(new in 2017)</t>
    </r>
  </si>
  <si>
    <r>
      <t>Educational Leadership P.M.C.</t>
    </r>
    <r>
      <rPr>
        <sz val="6"/>
        <color rgb="FF000000"/>
        <rFont val="Arial"/>
        <family val="2"/>
      </rPr>
      <t xml:space="preserve"> (new in 2017)</t>
    </r>
  </si>
  <si>
    <r>
      <t xml:space="preserve">Higher Education P.B.C. </t>
    </r>
    <r>
      <rPr>
        <sz val="6"/>
        <color rgb="FF000000"/>
        <rFont val="Arial"/>
        <family val="2"/>
      </rPr>
      <t>(new in 2022)</t>
    </r>
  </si>
  <si>
    <r>
      <t xml:space="preserve">Literacy Educator P.M.C. </t>
    </r>
    <r>
      <rPr>
        <sz val="6"/>
        <color rgb="FF000000"/>
        <rFont val="Arial"/>
        <family val="2"/>
      </rPr>
      <t>(new in 2022)</t>
    </r>
  </si>
  <si>
    <r>
      <t>Family Nurse Practitioner CAS</t>
    </r>
    <r>
      <rPr>
        <sz val="6"/>
        <color rgb="FF000000"/>
        <rFont val="Arial"/>
        <family val="2"/>
      </rPr>
      <t xml:space="preserve"> (new in 2022)</t>
    </r>
  </si>
  <si>
    <t>Doctor of Nursing Practice DNP</t>
  </si>
  <si>
    <r>
      <t xml:space="preserve">Doctor of Education in Literacy Studies </t>
    </r>
    <r>
      <rPr>
        <sz val="6"/>
        <rFont val="Arial"/>
        <family val="2"/>
      </rPr>
      <t>(new in 2014)</t>
    </r>
  </si>
  <si>
    <r>
      <t>Business Administration</t>
    </r>
    <r>
      <rPr>
        <vertAlign val="superscript"/>
        <sz val="9"/>
        <color rgb="FF000000"/>
        <rFont val="Arial"/>
        <family val="2"/>
      </rPr>
      <t>3</t>
    </r>
  </si>
  <si>
    <t>students in the most recent year or 15 students in the last 3 years.</t>
  </si>
  <si>
    <r>
      <rPr>
        <b/>
        <sz val="8"/>
        <color rgb="FF000000"/>
        <rFont val="Arial"/>
        <family val="2"/>
      </rPr>
      <t>Rules for Low Productivity:</t>
    </r>
    <r>
      <rPr>
        <sz val="8"/>
        <color indexed="8"/>
        <rFont val="Arial"/>
        <family val="2"/>
      </rPr>
      <t xml:space="preserve">  (1) New programs exempt for 5 years; (2) must graduate 5 </t>
    </r>
  </si>
  <si>
    <r>
      <t>3 Year Average</t>
    </r>
    <r>
      <rPr>
        <b/>
        <vertAlign val="superscript"/>
        <sz val="7"/>
        <color rgb="FF000000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</si>
</sst>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</numFmts>
  <fonts count="48" x14ac:knownFonts="1">
    <font>
      <sz val="8"/>
      <name val="Arial"/>
    </font>
    <font>
      <b/>
      <sz val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i/>
      <sz val="9"/>
      <color rgb="FFFF0000"/>
      <name val="Arial"/>
      <family val="2"/>
    </font>
    <font>
      <i/>
      <sz val="9"/>
      <color rgb="FFFF000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12"/>
      <name val="Arial"/>
      <family val="2"/>
    </font>
    <font>
      <b/>
      <sz val="10"/>
      <color indexed="8"/>
      <name val="Arial"/>
      <family val="2"/>
    </font>
    <font>
      <sz val="9"/>
      <color rgb="FFFF0000"/>
      <name val="Arial"/>
      <family val="2"/>
    </font>
    <font>
      <b/>
      <sz val="8"/>
      <color indexed="8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11"/>
      <color rgb="FF9C5700"/>
      <name val="Calibri"/>
      <family val="2"/>
      <scheme val="minor"/>
    </font>
    <font>
      <b/>
      <sz val="1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theme="0"/>
      <name val="Arial"/>
      <family val="2"/>
    </font>
    <font>
      <vertAlign val="superscript"/>
      <sz val="9"/>
      <color indexed="8"/>
      <name val="Arial"/>
      <family val="2"/>
    </font>
    <font>
      <sz val="8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6"/>
      <color indexed="8"/>
      <name val="Arial"/>
      <family val="2"/>
    </font>
    <font>
      <vertAlign val="superscript"/>
      <sz val="6"/>
      <color indexed="8"/>
      <name val="Arial"/>
      <family val="2"/>
    </font>
    <font>
      <sz val="6"/>
      <color indexed="8"/>
      <name val="Arial"/>
      <family val="2"/>
    </font>
    <font>
      <b/>
      <vertAlign val="superscript"/>
      <sz val="6"/>
      <color indexed="8"/>
      <name val="Arial"/>
      <family val="2"/>
    </font>
    <font>
      <vertAlign val="superscript"/>
      <sz val="8"/>
      <color indexed="8"/>
      <name val="Arial"/>
      <family val="2"/>
    </font>
    <font>
      <sz val="6"/>
      <color rgb="FF000000"/>
      <name val="Arial"/>
      <family val="2"/>
    </font>
    <font>
      <i/>
      <sz val="9"/>
      <color rgb="FFC00000"/>
      <name val="Arial"/>
      <family val="2"/>
    </font>
    <font>
      <sz val="6"/>
      <name val="Arial"/>
      <family val="2"/>
    </font>
    <font>
      <sz val="7"/>
      <color rgb="FF000000"/>
      <name val="Arial"/>
      <family val="2"/>
    </font>
    <font>
      <sz val="9"/>
      <color rgb="FF000000"/>
      <name val="Arial"/>
      <family val="2"/>
    </font>
    <font>
      <vertAlign val="superscript"/>
      <sz val="9"/>
      <color rgb="FF000000"/>
      <name val="Arial"/>
      <family val="2"/>
    </font>
    <font>
      <vertAlign val="superscript"/>
      <sz val="8"/>
      <color rgb="FF000000"/>
      <name val="Arial"/>
      <family val="2"/>
    </font>
    <font>
      <b/>
      <vertAlign val="superscript"/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7"/>
      <color indexed="8"/>
      <name val="Arial"/>
      <family val="2"/>
    </font>
    <font>
      <b/>
      <vertAlign val="superscript"/>
      <sz val="7"/>
      <color rgb="FF000000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lightGray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8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5" tint="0.59999389629810485"/>
        <bgColor indexed="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8"/>
      </patternFill>
    </fill>
    <fill>
      <patternFill patternType="solid">
        <fgColor theme="2" tint="-0.249977111117893"/>
        <bgColor indexed="9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indexed="22"/>
      </patternFill>
    </fill>
    <fill>
      <patternFill patternType="solid">
        <fgColor theme="9" tint="0.39997558519241921"/>
        <bgColor indexed="8"/>
      </patternFill>
    </fill>
    <fill>
      <patternFill patternType="solid">
        <fgColor theme="9" tint="0.39997558519241921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8"/>
      </patternFill>
    </fill>
    <fill>
      <patternFill patternType="solid">
        <fgColor theme="6" tint="0.39997558519241921"/>
        <bgColor indexed="9"/>
      </patternFill>
    </fill>
    <fill>
      <patternFill patternType="solid">
        <fgColor theme="6" tint="0.39997558519241921"/>
        <bgColor indexed="22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66"/>
        <bgColor indexed="8"/>
      </patternFill>
    </fill>
    <fill>
      <patternFill patternType="solid">
        <fgColor rgb="FFFFFF66"/>
        <bgColor indexed="9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5" tint="0.59999389629810485"/>
        <bgColor indexed="9"/>
      </patternFill>
    </fill>
    <fill>
      <patternFill patternType="solid">
        <fgColor theme="0" tint="-4.9989318521683403E-2"/>
        <bgColor indexed="8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2" tint="-9.9978637043366805E-2"/>
        <bgColor indexed="9"/>
      </patternFill>
    </fill>
    <fill>
      <patternFill patternType="solid">
        <fgColor theme="2" tint="-9.9978637043366805E-2"/>
        <bgColor indexed="8"/>
      </patternFill>
    </fill>
    <fill>
      <patternFill patternType="solid">
        <fgColor theme="0" tint="-4.9989318521683403E-2"/>
        <bgColor indexed="22"/>
      </patternFill>
    </fill>
    <fill>
      <patternFill patternType="solid">
        <fgColor theme="2" tint="-9.9978637043366805E-2"/>
        <bgColor indexed="22"/>
      </patternFill>
    </fill>
    <fill>
      <patternFill patternType="lightGray">
        <fgColor indexed="9"/>
        <bgColor theme="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gray125">
        <fgColor auto="1"/>
        <bgColor theme="0"/>
      </patternFill>
    </fill>
    <fill>
      <patternFill patternType="solid">
        <fgColor theme="0"/>
        <bgColor auto="1"/>
      </patternFill>
    </fill>
    <fill>
      <patternFill patternType="gray125">
        <bgColor theme="0"/>
      </patternFill>
    </fill>
    <fill>
      <patternFill patternType="gray125">
        <fgColor indexed="8"/>
        <bgColor theme="0"/>
      </patternFill>
    </fill>
    <fill>
      <patternFill patternType="gray125">
        <fgColor auto="1"/>
        <bgColor theme="0" tint="-4.9989318521683403E-2"/>
      </patternFill>
    </fill>
    <fill>
      <patternFill patternType="solid">
        <fgColor rgb="FFFFFF00"/>
        <bgColor indexed="8"/>
      </patternFill>
    </fill>
    <fill>
      <patternFill patternType="solid">
        <fgColor rgb="FFFFFF00"/>
        <bgColor indexed="64"/>
      </patternFill>
    </fill>
    <fill>
      <patternFill patternType="gray125">
        <fgColor auto="1"/>
        <bgColor theme="0" tint="-0.14999847407452621"/>
      </patternFill>
    </fill>
  </fills>
  <borders count="1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slantDashDot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 style="thin">
        <color indexed="64"/>
      </top>
      <bottom style="thin">
        <color indexed="64"/>
      </bottom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double">
        <color auto="1"/>
      </left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/>
      <bottom style="hair">
        <color indexed="64"/>
      </bottom>
      <diagonal/>
    </border>
    <border>
      <left style="double">
        <color auto="1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 style="double">
        <color auto="1"/>
      </right>
      <top style="hair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indexed="64"/>
      </top>
      <bottom style="double">
        <color indexed="64"/>
      </bottom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thin">
        <color indexed="64"/>
      </top>
      <bottom/>
      <diagonal/>
    </border>
    <border>
      <left style="double">
        <color auto="1"/>
      </left>
      <right style="double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hair">
        <color indexed="64"/>
      </bottom>
      <diagonal/>
    </border>
    <border>
      <left/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double">
        <color auto="1"/>
      </left>
      <right/>
      <top style="thin">
        <color indexed="64"/>
      </top>
      <bottom/>
      <diagonal/>
    </border>
    <border>
      <left style="double">
        <color auto="1"/>
      </left>
      <right/>
      <top/>
      <bottom style="hair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auto="1"/>
      </left>
      <right/>
      <top/>
      <bottom style="double">
        <color indexed="64"/>
      </bottom>
      <diagonal/>
    </border>
    <border>
      <left style="double">
        <color auto="1"/>
      </left>
      <right/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hair">
        <color indexed="64"/>
      </top>
      <bottom style="thin">
        <color indexed="64"/>
      </bottom>
      <diagonal/>
    </border>
    <border>
      <left style="double">
        <color auto="1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 style="double">
        <color auto="1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9">
    <xf numFmtId="0" fontId="0" fillId="0" borderId="0"/>
    <xf numFmtId="9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3" fillId="0" borderId="0"/>
    <xf numFmtId="9" fontId="2" fillId="0" borderId="0" applyFont="0" applyFill="0" applyBorder="0" applyAlignment="0" applyProtection="0"/>
    <xf numFmtId="0" fontId="2" fillId="0" borderId="0"/>
    <xf numFmtId="0" fontId="19" fillId="42" borderId="0" applyNumberFormat="0" applyBorder="0" applyAlignment="0" applyProtection="0"/>
    <xf numFmtId="0" fontId="20" fillId="43" borderId="0" applyNumberFormat="0" applyBorder="0" applyAlignment="0" applyProtection="0"/>
    <xf numFmtId="0" fontId="23" fillId="44" borderId="0" applyNumberFormat="0" applyBorder="0" applyAlignment="0" applyProtection="0"/>
  </cellStyleXfs>
  <cellXfs count="811">
    <xf numFmtId="0" fontId="0" fillId="2" borderId="0" xfId="0" applyFill="1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1" fillId="2" borderId="0" xfId="0" applyFont="1" applyFill="1" applyBorder="1"/>
    <xf numFmtId="41" fontId="3" fillId="12" borderId="11" xfId="0" applyNumberFormat="1" applyFont="1" applyFill="1" applyBorder="1" applyAlignment="1"/>
    <xf numFmtId="41" fontId="3" fillId="0" borderId="11" xfId="0" applyNumberFormat="1" applyFont="1" applyFill="1" applyBorder="1" applyAlignment="1"/>
    <xf numFmtId="49" fontId="4" fillId="12" borderId="23" xfId="0" quotePrefix="1" applyNumberFormat="1" applyFont="1" applyFill="1" applyBorder="1" applyAlignment="1">
      <alignment horizontal="center"/>
    </xf>
    <xf numFmtId="41" fontId="3" fillId="0" borderId="25" xfId="0" applyNumberFormat="1" applyFont="1" applyFill="1" applyBorder="1" applyAlignment="1"/>
    <xf numFmtId="41" fontId="3" fillId="12" borderId="25" xfId="0" applyNumberFormat="1" applyFont="1" applyFill="1" applyBorder="1" applyAlignment="1"/>
    <xf numFmtId="0" fontId="2" fillId="19" borderId="33" xfId="0" applyFont="1" applyFill="1" applyBorder="1" applyAlignment="1"/>
    <xf numFmtId="0" fontId="2" fillId="20" borderId="33" xfId="0" applyFont="1" applyFill="1" applyBorder="1" applyAlignment="1"/>
    <xf numFmtId="0" fontId="9" fillId="19" borderId="33" xfId="0" applyFont="1" applyFill="1" applyBorder="1" applyAlignment="1"/>
    <xf numFmtId="0" fontId="9" fillId="20" borderId="33" xfId="0" applyFont="1" applyFill="1" applyBorder="1" applyAlignment="1"/>
    <xf numFmtId="0" fontId="9" fillId="18" borderId="33" xfId="0" applyFont="1" applyFill="1" applyBorder="1" applyAlignment="1"/>
    <xf numFmtId="0" fontId="10" fillId="18" borderId="34" xfId="0" applyFont="1" applyFill="1" applyBorder="1" applyAlignment="1"/>
    <xf numFmtId="0" fontId="10" fillId="2" borderId="0" xfId="0" applyFont="1" applyFill="1"/>
    <xf numFmtId="0" fontId="7" fillId="2" borderId="0" xfId="0" applyFont="1" applyFill="1"/>
    <xf numFmtId="41" fontId="3" fillId="23" borderId="33" xfId="0" applyNumberFormat="1" applyFont="1" applyFill="1" applyBorder="1" applyAlignment="1"/>
    <xf numFmtId="41" fontId="13" fillId="23" borderId="33" xfId="0" applyNumberFormat="1" applyFont="1" applyFill="1" applyBorder="1" applyAlignment="1"/>
    <xf numFmtId="41" fontId="4" fillId="23" borderId="33" xfId="0" applyNumberFormat="1" applyFont="1" applyFill="1" applyBorder="1" applyAlignment="1"/>
    <xf numFmtId="9" fontId="4" fillId="22" borderId="33" xfId="1" applyFont="1" applyFill="1" applyBorder="1" applyAlignment="1"/>
    <xf numFmtId="41" fontId="4" fillId="22" borderId="33" xfId="0" applyNumberFormat="1" applyFont="1" applyFill="1" applyBorder="1" applyAlignment="1"/>
    <xf numFmtId="9" fontId="10" fillId="22" borderId="34" xfId="1" applyFont="1" applyFill="1" applyBorder="1" applyAlignment="1"/>
    <xf numFmtId="41" fontId="4" fillId="23" borderId="0" xfId="0" applyNumberFormat="1" applyFont="1" applyFill="1" applyBorder="1" applyAlignment="1"/>
    <xf numFmtId="41" fontId="3" fillId="26" borderId="33" xfId="0" applyNumberFormat="1" applyFont="1" applyFill="1" applyBorder="1" applyAlignment="1"/>
    <xf numFmtId="41" fontId="13" fillId="26" borderId="33" xfId="0" applyNumberFormat="1" applyFont="1" applyFill="1" applyBorder="1" applyAlignment="1"/>
    <xf numFmtId="41" fontId="4" fillId="26" borderId="33" xfId="0" applyNumberFormat="1" applyFont="1" applyFill="1" applyBorder="1" applyAlignment="1"/>
    <xf numFmtId="9" fontId="4" fillId="25" borderId="33" xfId="1" applyFont="1" applyFill="1" applyBorder="1" applyAlignment="1"/>
    <xf numFmtId="164" fontId="4" fillId="25" borderId="33" xfId="1" applyNumberFormat="1" applyFont="1" applyFill="1" applyBorder="1" applyAlignment="1"/>
    <xf numFmtId="0" fontId="14" fillId="2" borderId="0" xfId="0" applyFont="1" applyFill="1"/>
    <xf numFmtId="41" fontId="4" fillId="32" borderId="20" xfId="0" applyNumberFormat="1" applyFont="1" applyFill="1" applyBorder="1" applyAlignment="1"/>
    <xf numFmtId="41" fontId="4" fillId="0" borderId="35" xfId="0" applyNumberFormat="1" applyFont="1" applyFill="1" applyBorder="1" applyAlignment="1"/>
    <xf numFmtId="41" fontId="7" fillId="0" borderId="35" xfId="0" applyNumberFormat="1" applyFont="1" applyFill="1" applyBorder="1" applyAlignment="1"/>
    <xf numFmtId="9" fontId="4" fillId="0" borderId="35" xfId="1" applyFont="1" applyFill="1" applyBorder="1" applyAlignment="1"/>
    <xf numFmtId="9" fontId="7" fillId="0" borderId="35" xfId="1" applyFont="1" applyFill="1" applyBorder="1" applyAlignment="1"/>
    <xf numFmtId="0" fontId="15" fillId="2" borderId="0" xfId="3" applyFont="1" applyFill="1" applyBorder="1" applyAlignment="1">
      <alignment horizontal="centerContinuous"/>
    </xf>
    <xf numFmtId="0" fontId="15" fillId="2" borderId="7" xfId="3" applyFont="1" applyFill="1" applyBorder="1" applyAlignment="1"/>
    <xf numFmtId="41" fontId="3" fillId="3" borderId="35" xfId="0" applyNumberFormat="1" applyFont="1" applyFill="1" applyBorder="1" applyAlignment="1"/>
    <xf numFmtId="41" fontId="13" fillId="3" borderId="35" xfId="0" applyNumberFormat="1" applyFont="1" applyFill="1" applyBorder="1" applyAlignment="1"/>
    <xf numFmtId="41" fontId="4" fillId="3" borderId="35" xfId="0" applyNumberFormat="1" applyFont="1" applyFill="1" applyBorder="1" applyAlignment="1"/>
    <xf numFmtId="9" fontId="4" fillId="2" borderId="35" xfId="1" applyFont="1" applyFill="1" applyBorder="1" applyAlignment="1"/>
    <xf numFmtId="9" fontId="4" fillId="3" borderId="37" xfId="1" applyFont="1" applyFill="1" applyBorder="1" applyAlignment="1"/>
    <xf numFmtId="41" fontId="3" fillId="34" borderId="27" xfId="0" applyNumberFormat="1" applyFont="1" applyFill="1" applyBorder="1" applyAlignment="1"/>
    <xf numFmtId="41" fontId="13" fillId="34" borderId="27" xfId="0" applyNumberFormat="1" applyFont="1" applyFill="1" applyBorder="1" applyAlignment="1"/>
    <xf numFmtId="41" fontId="3" fillId="17" borderId="27" xfId="0" applyNumberFormat="1" applyFont="1" applyFill="1" applyBorder="1" applyAlignment="1"/>
    <xf numFmtId="41" fontId="4" fillId="34" borderId="27" xfId="0" applyNumberFormat="1" applyFont="1" applyFill="1" applyBorder="1" applyAlignment="1"/>
    <xf numFmtId="9" fontId="4" fillId="15" borderId="27" xfId="1" applyFont="1" applyFill="1" applyBorder="1" applyAlignment="1"/>
    <xf numFmtId="164" fontId="4" fillId="15" borderId="27" xfId="1" applyNumberFormat="1" applyFont="1" applyFill="1" applyBorder="1" applyAlignment="1"/>
    <xf numFmtId="9" fontId="4" fillId="15" borderId="28" xfId="1" applyFont="1" applyFill="1" applyBorder="1" applyAlignment="1"/>
    <xf numFmtId="41" fontId="3" fillId="3" borderId="7" xfId="0" applyNumberFormat="1" applyFont="1" applyFill="1" applyBorder="1" applyAlignment="1"/>
    <xf numFmtId="41" fontId="13" fillId="3" borderId="7" xfId="0" applyNumberFormat="1" applyFont="1" applyFill="1" applyBorder="1" applyAlignment="1"/>
    <xf numFmtId="41" fontId="3" fillId="0" borderId="7" xfId="0" applyNumberFormat="1" applyFont="1" applyFill="1" applyBorder="1" applyAlignment="1"/>
    <xf numFmtId="41" fontId="4" fillId="3" borderId="7" xfId="0" applyNumberFormat="1" applyFont="1" applyFill="1" applyBorder="1" applyAlignment="1"/>
    <xf numFmtId="9" fontId="4" fillId="2" borderId="7" xfId="1" applyFont="1" applyFill="1" applyBorder="1" applyAlignment="1"/>
    <xf numFmtId="164" fontId="4" fillId="2" borderId="7" xfId="1" applyNumberFormat="1" applyFont="1" applyFill="1" applyBorder="1" applyAlignment="1"/>
    <xf numFmtId="9" fontId="4" fillId="2" borderId="9" xfId="1" applyFont="1" applyFill="1" applyBorder="1" applyAlignment="1"/>
    <xf numFmtId="0" fontId="14" fillId="2" borderId="0" xfId="0" applyFont="1" applyFill="1" applyBorder="1"/>
    <xf numFmtId="41" fontId="4" fillId="21" borderId="20" xfId="0" applyNumberFormat="1" applyFont="1" applyFill="1" applyBorder="1" applyAlignment="1"/>
    <xf numFmtId="0" fontId="4" fillId="3" borderId="23" xfId="0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16" fontId="4" fillId="0" borderId="23" xfId="0" quotePrefix="1" applyNumberFormat="1" applyFont="1" applyFill="1" applyBorder="1" applyAlignment="1">
      <alignment horizontal="center"/>
    </xf>
    <xf numFmtId="16" fontId="4" fillId="3" borderId="23" xfId="0" quotePrefix="1" applyNumberFormat="1" applyFont="1" applyFill="1" applyBorder="1" applyAlignment="1">
      <alignment horizontal="center"/>
    </xf>
    <xf numFmtId="49" fontId="4" fillId="0" borderId="23" xfId="0" quotePrefix="1" applyNumberFormat="1" applyFont="1" applyFill="1" applyBorder="1" applyAlignment="1">
      <alignment horizontal="center"/>
    </xf>
    <xf numFmtId="49" fontId="4" fillId="4" borderId="23" xfId="0" quotePrefix="1" applyNumberFormat="1" applyFont="1" applyFill="1" applyBorder="1" applyAlignment="1">
      <alignment horizontal="center"/>
    </xf>
    <xf numFmtId="41" fontId="4" fillId="36" borderId="11" xfId="0" applyNumberFormat="1" applyFont="1" applyFill="1" applyBorder="1" applyAlignment="1">
      <alignment horizontal="center"/>
    </xf>
    <xf numFmtId="0" fontId="2" fillId="19" borderId="7" xfId="0" applyFont="1" applyFill="1" applyBorder="1" applyAlignment="1"/>
    <xf numFmtId="0" fontId="2" fillId="20" borderId="7" xfId="0" applyFont="1" applyFill="1" applyBorder="1" applyAlignment="1"/>
    <xf numFmtId="0" fontId="9" fillId="19" borderId="7" xfId="0" applyFont="1" applyFill="1" applyBorder="1" applyAlignment="1"/>
    <xf numFmtId="0" fontId="9" fillId="20" borderId="7" xfId="0" applyFont="1" applyFill="1" applyBorder="1" applyAlignment="1"/>
    <xf numFmtId="164" fontId="9" fillId="18" borderId="7" xfId="1" applyNumberFormat="1" applyFont="1" applyFill="1" applyBorder="1" applyAlignment="1"/>
    <xf numFmtId="41" fontId="3" fillId="2" borderId="11" xfId="0" applyNumberFormat="1" applyFont="1" applyFill="1" applyBorder="1" applyAlignment="1"/>
    <xf numFmtId="41" fontId="3" fillId="13" borderId="11" xfId="0" applyNumberFormat="1" applyFont="1" applyFill="1" applyBorder="1" applyAlignment="1"/>
    <xf numFmtId="41" fontId="4" fillId="9" borderId="11" xfId="0" applyNumberFormat="1" applyFont="1" applyFill="1" applyBorder="1" applyAlignment="1"/>
    <xf numFmtId="41" fontId="3" fillId="2" borderId="25" xfId="0" applyNumberFormat="1" applyFont="1" applyFill="1" applyBorder="1" applyAlignment="1"/>
    <xf numFmtId="41" fontId="3" fillId="13" borderId="25" xfId="0" applyNumberFormat="1" applyFont="1" applyFill="1" applyBorder="1" applyAlignment="1"/>
    <xf numFmtId="41" fontId="4" fillId="9" borderId="25" xfId="0" applyNumberFormat="1" applyFont="1" applyFill="1" applyBorder="1" applyAlignment="1"/>
    <xf numFmtId="41" fontId="4" fillId="9" borderId="38" xfId="0" applyNumberFormat="1" applyFont="1" applyFill="1" applyBorder="1" applyAlignment="1"/>
    <xf numFmtId="41" fontId="4" fillId="9" borderId="23" xfId="0" applyNumberFormat="1" applyFont="1" applyFill="1" applyBorder="1" applyAlignment="1"/>
    <xf numFmtId="41" fontId="3" fillId="13" borderId="23" xfId="0" applyNumberFormat="1" applyFont="1" applyFill="1" applyBorder="1" applyAlignment="1"/>
    <xf numFmtId="41" fontId="4" fillId="9" borderId="1" xfId="0" applyNumberFormat="1" applyFont="1" applyFill="1" applyBorder="1" applyAlignment="1"/>
    <xf numFmtId="164" fontId="4" fillId="7" borderId="15" xfId="0" applyNumberFormat="1" applyFont="1" applyFill="1" applyBorder="1" applyAlignment="1"/>
    <xf numFmtId="41" fontId="4" fillId="3" borderId="5" xfId="0" applyNumberFormat="1" applyFont="1" applyFill="1" applyBorder="1" applyAlignment="1"/>
    <xf numFmtId="164" fontId="4" fillId="4" borderId="6" xfId="1" applyNumberFormat="1" applyFont="1" applyFill="1" applyBorder="1" applyAlignment="1"/>
    <xf numFmtId="41" fontId="3" fillId="13" borderId="24" xfId="0" applyNumberFormat="1" applyFont="1" applyFill="1" applyBorder="1" applyAlignment="1"/>
    <xf numFmtId="0" fontId="11" fillId="2" borderId="0" xfId="0" applyFont="1" applyFill="1" applyAlignment="1"/>
    <xf numFmtId="0" fontId="12" fillId="2" borderId="0" xfId="0" applyFont="1" applyFill="1" applyAlignment="1"/>
    <xf numFmtId="0" fontId="10" fillId="2" borderId="0" xfId="0" applyFont="1" applyFill="1" applyAlignment="1"/>
    <xf numFmtId="41" fontId="3" fillId="13" borderId="4" xfId="0" applyNumberFormat="1" applyFont="1" applyFill="1" applyBorder="1" applyAlignment="1"/>
    <xf numFmtId="41" fontId="3" fillId="0" borderId="4" xfId="0" applyNumberFormat="1" applyFont="1" applyFill="1" applyBorder="1" applyAlignment="1"/>
    <xf numFmtId="41" fontId="3" fillId="0" borderId="23" xfId="0" applyNumberFormat="1" applyFont="1" applyFill="1" applyBorder="1" applyAlignment="1"/>
    <xf numFmtId="0" fontId="14" fillId="2" borderId="0" xfId="0" applyFont="1" applyFill="1" applyAlignment="1"/>
    <xf numFmtId="41" fontId="4" fillId="10" borderId="1" xfId="0" applyNumberFormat="1" applyFont="1" applyFill="1" applyBorder="1" applyAlignment="1"/>
    <xf numFmtId="0" fontId="12" fillId="2" borderId="0" xfId="0" applyFont="1" applyFill="1" applyBorder="1" applyAlignment="1"/>
    <xf numFmtId="0" fontId="14" fillId="2" borderId="0" xfId="0" applyFont="1" applyFill="1" applyBorder="1" applyAlignment="1"/>
    <xf numFmtId="0" fontId="6" fillId="0" borderId="0" xfId="0" applyFont="1" applyFill="1" applyAlignment="1"/>
    <xf numFmtId="41" fontId="3" fillId="2" borderId="4" xfId="0" applyNumberFormat="1" applyFont="1" applyFill="1" applyBorder="1" applyAlignment="1"/>
    <xf numFmtId="41" fontId="4" fillId="9" borderId="4" xfId="0" applyNumberFormat="1" applyFont="1" applyFill="1" applyBorder="1" applyAlignment="1"/>
    <xf numFmtId="41" fontId="3" fillId="2" borderId="24" xfId="0" applyNumberFormat="1" applyFont="1" applyFill="1" applyBorder="1" applyAlignment="1"/>
    <xf numFmtId="41" fontId="3" fillId="0" borderId="24" xfId="0" applyNumberFormat="1" applyFont="1" applyFill="1" applyBorder="1" applyAlignment="1"/>
    <xf numFmtId="41" fontId="4" fillId="9" borderId="24" xfId="0" applyNumberFormat="1" applyFont="1" applyFill="1" applyBorder="1" applyAlignment="1"/>
    <xf numFmtId="9" fontId="4" fillId="20" borderId="20" xfId="1" applyFont="1" applyFill="1" applyBorder="1" applyAlignment="1"/>
    <xf numFmtId="9" fontId="7" fillId="18" borderId="20" xfId="1" applyFont="1" applyFill="1" applyBorder="1" applyAlignment="1"/>
    <xf numFmtId="41" fontId="4" fillId="22" borderId="35" xfId="0" applyNumberFormat="1" applyFont="1" applyFill="1" applyBorder="1" applyAlignment="1"/>
    <xf numFmtId="9" fontId="10" fillId="22" borderId="37" xfId="1" applyFont="1" applyFill="1" applyBorder="1" applyAlignment="1"/>
    <xf numFmtId="41" fontId="3" fillId="2" borderId="23" xfId="0" applyNumberFormat="1" applyFont="1" applyFill="1" applyBorder="1" applyAlignment="1"/>
    <xf numFmtId="41" fontId="4" fillId="23" borderId="40" xfId="0" applyNumberFormat="1" applyFont="1" applyFill="1" applyBorder="1" applyAlignment="1"/>
    <xf numFmtId="9" fontId="4" fillId="24" borderId="40" xfId="1" applyFont="1" applyFill="1" applyBorder="1" applyAlignment="1"/>
    <xf numFmtId="9" fontId="7" fillId="22" borderId="39" xfId="1" applyFont="1" applyFill="1" applyBorder="1" applyAlignment="1"/>
    <xf numFmtId="164" fontId="4" fillId="7" borderId="4" xfId="0" applyNumberFormat="1" applyFont="1" applyFill="1" applyBorder="1" applyAlignment="1"/>
    <xf numFmtId="165" fontId="4" fillId="31" borderId="20" xfId="2" applyNumberFormat="1" applyFont="1" applyFill="1" applyBorder="1" applyAlignment="1">
      <alignment horizontal="right"/>
    </xf>
    <xf numFmtId="9" fontId="4" fillId="32" borderId="20" xfId="1" applyFont="1" applyFill="1" applyBorder="1" applyAlignment="1"/>
    <xf numFmtId="9" fontId="7" fillId="33" borderId="20" xfId="1" applyFont="1" applyFill="1" applyBorder="1" applyAlignment="1"/>
    <xf numFmtId="41" fontId="4" fillId="35" borderId="38" xfId="0" applyNumberFormat="1" applyFont="1" applyFill="1" applyBorder="1" applyAlignment="1"/>
    <xf numFmtId="41" fontId="4" fillId="16" borderId="38" xfId="0" applyNumberFormat="1" applyFont="1" applyFill="1" applyBorder="1" applyAlignment="1"/>
    <xf numFmtId="41" fontId="4" fillId="35" borderId="23" xfId="0" applyNumberFormat="1" applyFont="1" applyFill="1" applyBorder="1" applyAlignment="1"/>
    <xf numFmtId="41" fontId="4" fillId="16" borderId="23" xfId="0" applyNumberFormat="1" applyFont="1" applyFill="1" applyBorder="1" applyAlignment="1"/>
    <xf numFmtId="41" fontId="3" fillId="3" borderId="11" xfId="0" applyNumberFormat="1" applyFont="1" applyFill="1" applyBorder="1" applyAlignment="1"/>
    <xf numFmtId="0" fontId="3" fillId="2" borderId="11" xfId="0" applyFont="1" applyFill="1" applyBorder="1" applyAlignment="1"/>
    <xf numFmtId="41" fontId="4" fillId="36" borderId="11" xfId="0" applyNumberFormat="1" applyFont="1" applyFill="1" applyBorder="1" applyAlignment="1"/>
    <xf numFmtId="41" fontId="4" fillId="37" borderId="11" xfId="0" applyNumberFormat="1" applyFont="1" applyFill="1" applyBorder="1" applyAlignment="1"/>
    <xf numFmtId="41" fontId="4" fillId="36" borderId="38" xfId="0" applyNumberFormat="1" applyFont="1" applyFill="1" applyBorder="1" applyAlignment="1"/>
    <xf numFmtId="41" fontId="4" fillId="17" borderId="20" xfId="0" applyNumberFormat="1" applyFont="1" applyFill="1" applyBorder="1" applyAlignment="1"/>
    <xf numFmtId="41" fontId="4" fillId="34" borderId="11" xfId="0" applyNumberFormat="1" applyFont="1" applyFill="1" applyBorder="1" applyAlignment="1"/>
    <xf numFmtId="41" fontId="3" fillId="23" borderId="0" xfId="0" applyNumberFormat="1" applyFont="1" applyFill="1" applyBorder="1" applyAlignment="1"/>
    <xf numFmtId="41" fontId="13" fillId="23" borderId="0" xfId="0" applyNumberFormat="1" applyFont="1" applyFill="1" applyBorder="1" applyAlignment="1"/>
    <xf numFmtId="9" fontId="4" fillId="22" borderId="0" xfId="1" applyFont="1" applyFill="1" applyBorder="1" applyAlignment="1"/>
    <xf numFmtId="41" fontId="3" fillId="3" borderId="4" xfId="0" applyNumberFormat="1" applyFont="1" applyFill="1" applyBorder="1" applyAlignment="1"/>
    <xf numFmtId="41" fontId="3" fillId="6" borderId="4" xfId="0" applyNumberFormat="1" applyFont="1" applyFill="1" applyBorder="1" applyAlignment="1"/>
    <xf numFmtId="41" fontId="3" fillId="11" borderId="4" xfId="0" applyNumberFormat="1" applyFont="1" applyFill="1" applyBorder="1" applyAlignment="1"/>
    <xf numFmtId="41" fontId="3" fillId="3" borderId="11" xfId="0" applyNumberFormat="1" applyFont="1" applyFill="1" applyBorder="1" applyAlignment="1">
      <alignment horizontal="right"/>
    </xf>
    <xf numFmtId="41" fontId="3" fillId="30" borderId="35" xfId="0" applyNumberFormat="1" applyFont="1" applyFill="1" applyBorder="1" applyAlignment="1"/>
    <xf numFmtId="41" fontId="13" fillId="30" borderId="35" xfId="0" applyNumberFormat="1" applyFont="1" applyFill="1" applyBorder="1" applyAlignment="1"/>
    <xf numFmtId="41" fontId="3" fillId="31" borderId="35" xfId="0" applyNumberFormat="1" applyFont="1" applyFill="1" applyBorder="1" applyAlignment="1"/>
    <xf numFmtId="41" fontId="4" fillId="30" borderId="35" xfId="0" applyNumberFormat="1" applyFont="1" applyFill="1" applyBorder="1" applyAlignment="1"/>
    <xf numFmtId="9" fontId="4" fillId="29" borderId="35" xfId="1" applyFont="1" applyFill="1" applyBorder="1" applyAlignment="1"/>
    <xf numFmtId="41" fontId="4" fillId="11" borderId="4" xfId="0" applyNumberFormat="1" applyFont="1" applyFill="1" applyBorder="1" applyAlignment="1"/>
    <xf numFmtId="0" fontId="13" fillId="2" borderId="33" xfId="0" applyFont="1" applyFill="1" applyBorder="1" applyAlignment="1"/>
    <xf numFmtId="0" fontId="7" fillId="0" borderId="33" xfId="0" applyFont="1" applyFill="1" applyBorder="1" applyAlignment="1"/>
    <xf numFmtId="0" fontId="7" fillId="2" borderId="33" xfId="0" applyFont="1" applyFill="1" applyBorder="1" applyAlignment="1"/>
    <xf numFmtId="164" fontId="7" fillId="2" borderId="33" xfId="1" applyNumberFormat="1" applyFont="1" applyFill="1" applyBorder="1" applyAlignment="1"/>
    <xf numFmtId="41" fontId="4" fillId="36" borderId="4" xfId="0" applyNumberFormat="1" applyFont="1" applyFill="1" applyBorder="1" applyAlignment="1">
      <alignment horizontal="right"/>
    </xf>
    <xf numFmtId="41" fontId="4" fillId="36" borderId="11" xfId="0" applyNumberFormat="1" applyFont="1" applyFill="1" applyBorder="1" applyAlignment="1">
      <alignment horizontal="right"/>
    </xf>
    <xf numFmtId="9" fontId="4" fillId="36" borderId="4" xfId="1" applyFont="1" applyFill="1" applyBorder="1" applyAlignment="1">
      <alignment horizontal="right"/>
    </xf>
    <xf numFmtId="9" fontId="4" fillId="36" borderId="11" xfId="1" applyFont="1" applyFill="1" applyBorder="1" applyAlignment="1">
      <alignment horizontal="right"/>
    </xf>
    <xf numFmtId="41" fontId="16" fillId="32" borderId="42" xfId="0" applyNumberFormat="1" applyFont="1" applyFill="1" applyBorder="1" applyAlignment="1"/>
    <xf numFmtId="0" fontId="17" fillId="2" borderId="0" xfId="0" applyFont="1" applyFill="1"/>
    <xf numFmtId="0" fontId="3" fillId="3" borderId="11" xfId="0" applyFont="1" applyFill="1" applyBorder="1" applyAlignment="1"/>
    <xf numFmtId="41" fontId="4" fillId="14" borderId="20" xfId="0" applyNumberFormat="1" applyFont="1" applyFill="1" applyBorder="1" applyAlignment="1"/>
    <xf numFmtId="165" fontId="3" fillId="2" borderId="0" xfId="2" applyNumberFormat="1" applyFont="1" applyFill="1" applyBorder="1" applyAlignment="1"/>
    <xf numFmtId="165" fontId="3" fillId="0" borderId="1" xfId="2" applyNumberFormat="1" applyFont="1" applyFill="1" applyBorder="1" applyAlignment="1"/>
    <xf numFmtId="165" fontId="4" fillId="11" borderId="0" xfId="2" applyNumberFormat="1" applyFont="1" applyFill="1" applyBorder="1" applyAlignment="1"/>
    <xf numFmtId="165" fontId="3" fillId="11" borderId="1" xfId="2" applyNumberFormat="1" applyFont="1" applyFill="1" applyBorder="1" applyAlignment="1"/>
    <xf numFmtId="165" fontId="3" fillId="2" borderId="45" xfId="2" applyNumberFormat="1" applyFont="1" applyFill="1" applyBorder="1" applyAlignment="1"/>
    <xf numFmtId="165" fontId="3" fillId="0" borderId="45" xfId="2" applyNumberFormat="1" applyFont="1" applyFill="1" applyBorder="1" applyAlignment="1"/>
    <xf numFmtId="165" fontId="3" fillId="13" borderId="45" xfId="2" applyNumberFormat="1" applyFont="1" applyFill="1" applyBorder="1" applyAlignment="1"/>
    <xf numFmtId="165" fontId="4" fillId="11" borderId="46" xfId="2" applyNumberFormat="1" applyFont="1" applyFill="1" applyBorder="1" applyAlignment="1"/>
    <xf numFmtId="165" fontId="3" fillId="11" borderId="46" xfId="2" applyNumberFormat="1" applyFont="1" applyFill="1" applyBorder="1" applyAlignment="1"/>
    <xf numFmtId="165" fontId="3" fillId="2" borderId="46" xfId="2" applyNumberFormat="1" applyFont="1" applyFill="1" applyBorder="1" applyAlignment="1"/>
    <xf numFmtId="165" fontId="3" fillId="0" borderId="46" xfId="2" applyNumberFormat="1" applyFont="1" applyFill="1" applyBorder="1" applyAlignment="1"/>
    <xf numFmtId="165" fontId="3" fillId="13" borderId="46" xfId="2" applyNumberFormat="1" applyFont="1" applyFill="1" applyBorder="1" applyAlignment="1"/>
    <xf numFmtId="41" fontId="4" fillId="0" borderId="35" xfId="1" applyNumberFormat="1" applyFont="1" applyFill="1" applyBorder="1" applyAlignment="1"/>
    <xf numFmtId="41" fontId="4" fillId="36" borderId="5" xfId="0" applyNumberFormat="1" applyFont="1" applyFill="1" applyBorder="1" applyAlignment="1">
      <alignment horizontal="center"/>
    </xf>
    <xf numFmtId="41" fontId="4" fillId="17" borderId="17" xfId="0" applyNumberFormat="1" applyFont="1" applyFill="1" applyBorder="1" applyAlignment="1"/>
    <xf numFmtId="41" fontId="4" fillId="23" borderId="19" xfId="0" applyNumberFormat="1" applyFont="1" applyFill="1" applyBorder="1" applyAlignment="1"/>
    <xf numFmtId="165" fontId="4" fillId="31" borderId="17" xfId="2" applyNumberFormat="1" applyFont="1" applyFill="1" applyBorder="1" applyAlignment="1">
      <alignment horizontal="right"/>
    </xf>
    <xf numFmtId="41" fontId="4" fillId="32" borderId="17" xfId="0" applyNumberFormat="1" applyFont="1" applyFill="1" applyBorder="1" applyAlignment="1"/>
    <xf numFmtId="41" fontId="4" fillId="34" borderId="5" xfId="0" applyNumberFormat="1" applyFont="1" applyFill="1" applyBorder="1" applyAlignment="1"/>
    <xf numFmtId="41" fontId="4" fillId="21" borderId="17" xfId="0" applyNumberFormat="1" applyFont="1" applyFill="1" applyBorder="1" applyAlignment="1"/>
    <xf numFmtId="41" fontId="3" fillId="11" borderId="3" xfId="0" applyNumberFormat="1" applyFont="1" applyFill="1" applyBorder="1" applyAlignment="1"/>
    <xf numFmtId="41" fontId="4" fillId="36" borderId="3" xfId="0" applyNumberFormat="1" applyFont="1" applyFill="1" applyBorder="1" applyAlignment="1">
      <alignment horizontal="right"/>
    </xf>
    <xf numFmtId="41" fontId="4" fillId="36" borderId="5" xfId="0" applyNumberFormat="1" applyFont="1" applyFill="1" applyBorder="1" applyAlignment="1">
      <alignment horizontal="right"/>
    </xf>
    <xf numFmtId="41" fontId="16" fillId="32" borderId="44" xfId="0" applyNumberFormat="1" applyFont="1" applyFill="1" applyBorder="1" applyAlignment="1"/>
    <xf numFmtId="164" fontId="4" fillId="40" borderId="11" xfId="0" applyNumberFormat="1" applyFont="1" applyFill="1" applyBorder="1" applyAlignment="1"/>
    <xf numFmtId="164" fontId="7" fillId="12" borderId="11" xfId="1" applyNumberFormat="1" applyFont="1" applyFill="1" applyBorder="1" applyAlignment="1"/>
    <xf numFmtId="164" fontId="7" fillId="18" borderId="7" xfId="1" applyNumberFormat="1" applyFont="1" applyFill="1" applyBorder="1" applyAlignment="1"/>
    <xf numFmtId="165" fontId="4" fillId="17" borderId="20" xfId="2" applyNumberFormat="1" applyFont="1" applyFill="1" applyBorder="1" applyAlignment="1">
      <alignment horizontal="right"/>
    </xf>
    <xf numFmtId="164" fontId="4" fillId="40" borderId="25" xfId="0" applyNumberFormat="1" applyFont="1" applyFill="1" applyBorder="1" applyAlignment="1"/>
    <xf numFmtId="164" fontId="7" fillId="12" borderId="25" xfId="1" applyNumberFormat="1" applyFont="1" applyFill="1" applyBorder="1" applyAlignment="1"/>
    <xf numFmtId="9" fontId="10" fillId="22" borderId="33" xfId="1" applyFont="1" applyFill="1" applyBorder="1" applyAlignment="1"/>
    <xf numFmtId="165" fontId="7" fillId="22" borderId="20" xfId="2" applyNumberFormat="1" applyFont="1" applyFill="1" applyBorder="1" applyAlignment="1"/>
    <xf numFmtId="41" fontId="3" fillId="30" borderId="7" xfId="0" applyNumberFormat="1" applyFont="1" applyFill="1" applyBorder="1" applyAlignment="1"/>
    <xf numFmtId="41" fontId="13" fillId="30" borderId="7" xfId="0" applyNumberFormat="1" applyFont="1" applyFill="1" applyBorder="1" applyAlignment="1"/>
    <xf numFmtId="41" fontId="3" fillId="31" borderId="7" xfId="0" applyNumberFormat="1" applyFont="1" applyFill="1" applyBorder="1" applyAlignment="1"/>
    <xf numFmtId="41" fontId="4" fillId="30" borderId="7" xfId="0" applyNumberFormat="1" applyFont="1" applyFill="1" applyBorder="1" applyAlignment="1"/>
    <xf numFmtId="9" fontId="4" fillId="29" borderId="7" xfId="1" applyFont="1" applyFill="1" applyBorder="1" applyAlignment="1"/>
    <xf numFmtId="164" fontId="4" fillId="29" borderId="7" xfId="1" applyNumberFormat="1" applyFont="1" applyFill="1" applyBorder="1" applyAlignment="1"/>
    <xf numFmtId="41" fontId="4" fillId="27" borderId="20" xfId="0" applyNumberFormat="1" applyFont="1" applyFill="1" applyBorder="1" applyAlignment="1"/>
    <xf numFmtId="41" fontId="4" fillId="27" borderId="17" xfId="0" applyNumberFormat="1" applyFont="1" applyFill="1" applyBorder="1" applyAlignment="1"/>
    <xf numFmtId="9" fontId="4" fillId="28" borderId="20" xfId="1" applyFont="1" applyFill="1" applyBorder="1" applyAlignment="1"/>
    <xf numFmtId="9" fontId="7" fillId="25" borderId="20" xfId="1" applyFont="1" applyFill="1" applyBorder="1" applyAlignment="1"/>
    <xf numFmtId="165" fontId="7" fillId="25" borderId="20" xfId="2" applyNumberFormat="1" applyFont="1" applyFill="1" applyBorder="1" applyAlignment="1"/>
    <xf numFmtId="9" fontId="4" fillId="31" borderId="20" xfId="1" applyFont="1" applyFill="1" applyBorder="1" applyAlignment="1">
      <alignment horizontal="right"/>
    </xf>
    <xf numFmtId="165" fontId="7" fillId="33" borderId="20" xfId="2" applyNumberFormat="1" applyFont="1" applyFill="1" applyBorder="1" applyAlignment="1"/>
    <xf numFmtId="164" fontId="7" fillId="18" borderId="9" xfId="1" applyNumberFormat="1" applyFont="1" applyFill="1" applyBorder="1" applyAlignment="1"/>
    <xf numFmtId="164" fontId="4" fillId="25" borderId="34" xfId="1" applyNumberFormat="1" applyFont="1" applyFill="1" applyBorder="1" applyAlignment="1"/>
    <xf numFmtId="164" fontId="4" fillId="29" borderId="9" xfId="1" applyNumberFormat="1" applyFont="1" applyFill="1" applyBorder="1" applyAlignment="1"/>
    <xf numFmtId="9" fontId="16" fillId="32" borderId="20" xfId="1" applyFont="1" applyFill="1" applyBorder="1" applyAlignment="1"/>
    <xf numFmtId="9" fontId="16" fillId="32" borderId="42" xfId="1" applyFont="1" applyFill="1" applyBorder="1" applyAlignment="1"/>
    <xf numFmtId="9" fontId="4" fillId="32" borderId="17" xfId="1" applyFont="1" applyFill="1" applyBorder="1" applyAlignment="1"/>
    <xf numFmtId="9" fontId="4" fillId="40" borderId="24" xfId="1" applyFont="1" applyFill="1" applyBorder="1" applyAlignment="1"/>
    <xf numFmtId="9" fontId="4" fillId="40" borderId="11" xfId="1" applyFont="1" applyFill="1" applyBorder="1" applyAlignment="1"/>
    <xf numFmtId="9" fontId="4" fillId="7" borderId="24" xfId="0" applyNumberFormat="1" applyFont="1" applyFill="1" applyBorder="1" applyAlignment="1"/>
    <xf numFmtId="9" fontId="4" fillId="40" borderId="24" xfId="0" applyNumberFormat="1" applyFont="1" applyFill="1" applyBorder="1" applyAlignment="1"/>
    <xf numFmtId="9" fontId="7" fillId="12" borderId="24" xfId="1" applyNumberFormat="1" applyFont="1" applyFill="1" applyBorder="1" applyAlignment="1"/>
    <xf numFmtId="9" fontId="4" fillId="7" borderId="11" xfId="0" applyNumberFormat="1" applyFont="1" applyFill="1" applyBorder="1" applyAlignment="1"/>
    <xf numFmtId="9" fontId="4" fillId="40" borderId="11" xfId="0" applyNumberFormat="1" applyFont="1" applyFill="1" applyBorder="1" applyAlignment="1"/>
    <xf numFmtId="9" fontId="7" fillId="12" borderId="11" xfId="1" applyNumberFormat="1" applyFont="1" applyFill="1" applyBorder="1" applyAlignment="1"/>
    <xf numFmtId="9" fontId="4" fillId="7" borderId="25" xfId="0" applyNumberFormat="1" applyFont="1" applyFill="1" applyBorder="1" applyAlignment="1"/>
    <xf numFmtId="9" fontId="4" fillId="40" borderId="25" xfId="0" applyNumberFormat="1" applyFont="1" applyFill="1" applyBorder="1" applyAlignment="1"/>
    <xf numFmtId="9" fontId="7" fillId="12" borderId="25" xfId="1" applyNumberFormat="1" applyFont="1" applyFill="1" applyBorder="1" applyAlignment="1"/>
    <xf numFmtId="164" fontId="4" fillId="40" borderId="4" xfId="0" applyNumberFormat="1" applyFont="1" applyFill="1" applyBorder="1" applyAlignment="1"/>
    <xf numFmtId="164" fontId="7" fillId="12" borderId="4" xfId="1" applyNumberFormat="1" applyFont="1" applyFill="1" applyBorder="1" applyAlignment="1"/>
    <xf numFmtId="9" fontId="9" fillId="18" borderId="33" xfId="0" applyNumberFormat="1" applyFont="1" applyFill="1" applyBorder="1" applyAlignment="1"/>
    <xf numFmtId="9" fontId="9" fillId="18" borderId="33" xfId="1" applyNumberFormat="1" applyFont="1" applyFill="1" applyBorder="1" applyAlignment="1"/>
    <xf numFmtId="9" fontId="4" fillId="34" borderId="11" xfId="1" applyFont="1" applyFill="1" applyBorder="1" applyAlignment="1"/>
    <xf numFmtId="9" fontId="4" fillId="39" borderId="11" xfId="0" applyNumberFormat="1" applyFont="1" applyFill="1" applyBorder="1" applyAlignment="1"/>
    <xf numFmtId="9" fontId="7" fillId="36" borderId="11" xfId="1" applyNumberFormat="1" applyFont="1" applyFill="1" applyBorder="1" applyAlignment="1"/>
    <xf numFmtId="9" fontId="4" fillId="39" borderId="38" xfId="0" applyNumberFormat="1" applyFont="1" applyFill="1" applyBorder="1" applyAlignment="1"/>
    <xf numFmtId="9" fontId="7" fillId="36" borderId="38" xfId="1" applyNumberFormat="1" applyFont="1" applyFill="1" applyBorder="1" applyAlignment="1"/>
    <xf numFmtId="9" fontId="4" fillId="17" borderId="20" xfId="1" applyNumberFormat="1" applyFont="1" applyFill="1" applyBorder="1" applyAlignment="1">
      <alignment horizontal="right"/>
    </xf>
    <xf numFmtId="41" fontId="4" fillId="37" borderId="24" xfId="0" applyNumberFormat="1" applyFont="1" applyFill="1" applyBorder="1" applyAlignment="1"/>
    <xf numFmtId="41" fontId="4" fillId="37" borderId="25" xfId="0" applyNumberFormat="1" applyFont="1" applyFill="1" applyBorder="1" applyAlignment="1"/>
    <xf numFmtId="41" fontId="4" fillId="37" borderId="4" xfId="0" applyNumberFormat="1" applyFont="1" applyFill="1" applyBorder="1" applyAlignment="1"/>
    <xf numFmtId="41" fontId="4" fillId="37" borderId="4" xfId="0" applyNumberFormat="1" applyFont="1" applyFill="1" applyBorder="1" applyAlignment="1">
      <alignment horizontal="right"/>
    </xf>
    <xf numFmtId="41" fontId="4" fillId="37" borderId="11" xfId="0" applyNumberFormat="1" applyFont="1" applyFill="1" applyBorder="1" applyAlignment="1">
      <alignment horizontal="right"/>
    </xf>
    <xf numFmtId="9" fontId="4" fillId="32" borderId="44" xfId="1" applyFont="1" applyFill="1" applyBorder="1" applyAlignment="1"/>
    <xf numFmtId="165" fontId="9" fillId="33" borderId="44" xfId="2" applyNumberFormat="1" applyFont="1" applyFill="1" applyBorder="1" applyAlignment="1"/>
    <xf numFmtId="0" fontId="1" fillId="3" borderId="0" xfId="0" applyFont="1" applyFill="1"/>
    <xf numFmtId="0" fontId="7" fillId="2" borderId="34" xfId="0" applyFont="1" applyFill="1" applyBorder="1" applyAlignment="1"/>
    <xf numFmtId="9" fontId="4" fillId="29" borderId="33" xfId="1" applyFont="1" applyFill="1" applyBorder="1" applyAlignment="1"/>
    <xf numFmtId="164" fontId="4" fillId="29" borderId="33" xfId="1" applyNumberFormat="1" applyFont="1" applyFill="1" applyBorder="1" applyAlignment="1"/>
    <xf numFmtId="9" fontId="4" fillId="29" borderId="34" xfId="1" applyFont="1" applyFill="1" applyBorder="1" applyAlignment="1"/>
    <xf numFmtId="41" fontId="4" fillId="11" borderId="11" xfId="0" applyNumberFormat="1" applyFont="1" applyFill="1" applyBorder="1" applyAlignment="1">
      <alignment horizontal="left"/>
    </xf>
    <xf numFmtId="41" fontId="3" fillId="11" borderId="11" xfId="0" applyNumberFormat="1" applyFont="1" applyFill="1" applyBorder="1" applyAlignment="1">
      <alignment horizontal="left"/>
    </xf>
    <xf numFmtId="41" fontId="3" fillId="11" borderId="5" xfId="0" applyNumberFormat="1" applyFont="1" applyFill="1" applyBorder="1" applyAlignment="1">
      <alignment horizontal="left"/>
    </xf>
    <xf numFmtId="41" fontId="3" fillId="0" borderId="11" xfId="0" applyNumberFormat="1" applyFont="1" applyFill="1" applyBorder="1" applyAlignment="1">
      <alignment horizontal="left"/>
    </xf>
    <xf numFmtId="16" fontId="4" fillId="0" borderId="8" xfId="0" quotePrefix="1" applyNumberFormat="1" applyFont="1" applyFill="1" applyBorder="1" applyAlignment="1">
      <alignment horizontal="center"/>
    </xf>
    <xf numFmtId="41" fontId="3" fillId="0" borderId="2" xfId="0" applyNumberFormat="1" applyFont="1" applyFill="1" applyBorder="1" applyAlignment="1"/>
    <xf numFmtId="41" fontId="3" fillId="0" borderId="1" xfId="0" applyNumberFormat="1" applyFont="1" applyFill="1" applyBorder="1" applyAlignment="1"/>
    <xf numFmtId="41" fontId="3" fillId="0" borderId="12" xfId="0" applyNumberFormat="1" applyFont="1" applyFill="1" applyBorder="1" applyAlignment="1"/>
    <xf numFmtId="41" fontId="4" fillId="36" borderId="1" xfId="0" applyNumberFormat="1" applyFont="1" applyFill="1" applyBorder="1" applyAlignment="1">
      <alignment horizontal="center"/>
    </xf>
    <xf numFmtId="41" fontId="4" fillId="16" borderId="29" xfId="0" applyNumberFormat="1" applyFont="1" applyFill="1" applyBorder="1" applyAlignment="1"/>
    <xf numFmtId="41" fontId="4" fillId="16" borderId="8" xfId="0" applyNumberFormat="1" applyFont="1" applyFill="1" applyBorder="1" applyAlignment="1"/>
    <xf numFmtId="41" fontId="4" fillId="17" borderId="16" xfId="0" applyNumberFormat="1" applyFont="1" applyFill="1" applyBorder="1" applyAlignment="1"/>
    <xf numFmtId="41" fontId="3" fillId="0" borderId="26" xfId="0" applyNumberFormat="1" applyFont="1" applyFill="1" applyBorder="1" applyAlignment="1"/>
    <xf numFmtId="41" fontId="4" fillId="21" borderId="16" xfId="0" applyNumberFormat="1" applyFont="1" applyFill="1" applyBorder="1" applyAlignment="1"/>
    <xf numFmtId="41" fontId="3" fillId="0" borderId="8" xfId="0" applyNumberFormat="1" applyFont="1" applyFill="1" applyBorder="1" applyAlignment="1"/>
    <xf numFmtId="41" fontId="4" fillId="23" borderId="53" xfId="0" applyNumberFormat="1" applyFont="1" applyFill="1" applyBorder="1" applyAlignment="1"/>
    <xf numFmtId="41" fontId="3" fillId="13" borderId="5" xfId="0" applyNumberFormat="1" applyFont="1" applyFill="1" applyBorder="1" applyAlignment="1"/>
    <xf numFmtId="41" fontId="3" fillId="13" borderId="14" xfId="0" applyNumberFormat="1" applyFont="1" applyFill="1" applyBorder="1" applyAlignment="1"/>
    <xf numFmtId="41" fontId="4" fillId="35" borderId="28" xfId="0" applyNumberFormat="1" applyFont="1" applyFill="1" applyBorder="1" applyAlignment="1"/>
    <xf numFmtId="41" fontId="4" fillId="35" borderId="9" xfId="0" applyNumberFormat="1" applyFont="1" applyFill="1" applyBorder="1" applyAlignment="1"/>
    <xf numFmtId="41" fontId="3" fillId="13" borderId="3" xfId="0" applyNumberFormat="1" applyFont="1" applyFill="1" applyBorder="1" applyAlignment="1"/>
    <xf numFmtId="41" fontId="3" fillId="13" borderId="22" xfId="0" applyNumberFormat="1" applyFont="1" applyFill="1" applyBorder="1" applyAlignment="1"/>
    <xf numFmtId="41" fontId="3" fillId="13" borderId="9" xfId="0" applyNumberFormat="1" applyFont="1" applyFill="1" applyBorder="1" applyAlignment="1"/>
    <xf numFmtId="41" fontId="4" fillId="27" borderId="16" xfId="0" applyNumberFormat="1" applyFont="1" applyFill="1" applyBorder="1" applyAlignment="1"/>
    <xf numFmtId="165" fontId="4" fillId="31" borderId="16" xfId="2" applyNumberFormat="1" applyFont="1" applyFill="1" applyBorder="1" applyAlignment="1">
      <alignment horizontal="right"/>
    </xf>
    <xf numFmtId="41" fontId="4" fillId="32" borderId="16" xfId="0" applyNumberFormat="1" applyFont="1" applyFill="1" applyBorder="1" applyAlignment="1"/>
    <xf numFmtId="41" fontId="4" fillId="30" borderId="18" xfId="0" applyNumberFormat="1" applyFont="1" applyFill="1" applyBorder="1" applyAlignment="1"/>
    <xf numFmtId="41" fontId="3" fillId="11" borderId="1" xfId="0" applyNumberFormat="1" applyFont="1" applyFill="1" applyBorder="1" applyAlignment="1">
      <alignment horizontal="left"/>
    </xf>
    <xf numFmtId="41" fontId="3" fillId="11" borderId="1" xfId="0" applyNumberFormat="1" applyFont="1" applyFill="1" applyBorder="1" applyAlignment="1"/>
    <xf numFmtId="41" fontId="4" fillId="34" borderId="1" xfId="0" applyNumberFormat="1" applyFont="1" applyFill="1" applyBorder="1" applyAlignment="1"/>
    <xf numFmtId="165" fontId="3" fillId="0" borderId="54" xfId="2" applyNumberFormat="1" applyFont="1" applyFill="1" applyBorder="1" applyAlignment="1"/>
    <xf numFmtId="165" fontId="3" fillId="11" borderId="55" xfId="2" applyNumberFormat="1" applyFont="1" applyFill="1" applyBorder="1" applyAlignment="1"/>
    <xf numFmtId="165" fontId="3" fillId="0" borderId="55" xfId="2" applyNumberFormat="1" applyFont="1" applyFill="1" applyBorder="1" applyAlignment="1"/>
    <xf numFmtId="41" fontId="4" fillId="23" borderId="16" xfId="0" applyNumberFormat="1" applyFont="1" applyFill="1" applyBorder="1" applyAlignment="1"/>
    <xf numFmtId="41" fontId="3" fillId="11" borderId="2" xfId="0" applyNumberFormat="1" applyFont="1" applyFill="1" applyBorder="1" applyAlignment="1"/>
    <xf numFmtId="41" fontId="4" fillId="36" borderId="2" xfId="0" applyNumberFormat="1" applyFont="1" applyFill="1" applyBorder="1" applyAlignment="1">
      <alignment horizontal="right"/>
    </xf>
    <xf numFmtId="41" fontId="4" fillId="36" borderId="1" xfId="0" applyNumberFormat="1" applyFont="1" applyFill="1" applyBorder="1" applyAlignment="1">
      <alignment horizontal="right"/>
    </xf>
    <xf numFmtId="41" fontId="16" fillId="32" borderId="43" xfId="0" applyNumberFormat="1" applyFont="1" applyFill="1" applyBorder="1" applyAlignment="1"/>
    <xf numFmtId="0" fontId="13" fillId="2" borderId="35" xfId="0" applyFont="1" applyFill="1" applyBorder="1" applyAlignment="1"/>
    <xf numFmtId="0" fontId="7" fillId="0" borderId="35" xfId="0" applyFont="1" applyFill="1" applyBorder="1" applyAlignment="1"/>
    <xf numFmtId="0" fontId="7" fillId="2" borderId="35" xfId="0" applyFont="1" applyFill="1" applyBorder="1" applyAlignment="1"/>
    <xf numFmtId="164" fontId="7" fillId="2" borderId="35" xfId="1" applyNumberFormat="1" applyFont="1" applyFill="1" applyBorder="1" applyAlignment="1"/>
    <xf numFmtId="0" fontId="7" fillId="2" borderId="37" xfId="0" applyFont="1" applyFill="1" applyBorder="1" applyAlignment="1"/>
    <xf numFmtId="41" fontId="3" fillId="13" borderId="1" xfId="0" applyNumberFormat="1" applyFont="1" applyFill="1" applyBorder="1" applyAlignment="1"/>
    <xf numFmtId="41" fontId="4" fillId="34" borderId="41" xfId="0" applyNumberFormat="1" applyFont="1" applyFill="1" applyBorder="1" applyAlignment="1"/>
    <xf numFmtId="165" fontId="3" fillId="0" borderId="2" xfId="2" applyNumberFormat="1" applyFont="1" applyFill="1" applyBorder="1" applyAlignment="1"/>
    <xf numFmtId="16" fontId="4" fillId="12" borderId="57" xfId="0" quotePrefix="1" applyNumberFormat="1" applyFont="1" applyFill="1" applyBorder="1" applyAlignment="1">
      <alignment horizontal="center"/>
    </xf>
    <xf numFmtId="41" fontId="3" fillId="13" borderId="6" xfId="0" applyNumberFormat="1" applyFont="1" applyFill="1" applyBorder="1" applyAlignment="1"/>
    <xf numFmtId="41" fontId="3" fillId="13" borderId="58" xfId="0" applyNumberFormat="1" applyFont="1" applyFill="1" applyBorder="1" applyAlignment="1"/>
    <xf numFmtId="41" fontId="4" fillId="36" borderId="6" xfId="0" applyNumberFormat="1" applyFont="1" applyFill="1" applyBorder="1" applyAlignment="1">
      <alignment horizontal="center"/>
    </xf>
    <xf numFmtId="41" fontId="4" fillId="35" borderId="59" xfId="0" applyNumberFormat="1" applyFont="1" applyFill="1" applyBorder="1" applyAlignment="1"/>
    <xf numFmtId="41" fontId="4" fillId="35" borderId="57" xfId="0" applyNumberFormat="1" applyFont="1" applyFill="1" applyBorder="1" applyAlignment="1"/>
    <xf numFmtId="41" fontId="4" fillId="17" borderId="60" xfId="0" applyNumberFormat="1" applyFont="1" applyFill="1" applyBorder="1" applyAlignment="1"/>
    <xf numFmtId="41" fontId="3" fillId="13" borderId="56" xfId="0" applyNumberFormat="1" applyFont="1" applyFill="1" applyBorder="1" applyAlignment="1"/>
    <xf numFmtId="41" fontId="3" fillId="13" borderId="61" xfId="0" applyNumberFormat="1" applyFont="1" applyFill="1" applyBorder="1" applyAlignment="1"/>
    <xf numFmtId="41" fontId="4" fillId="21" borderId="60" xfId="0" applyNumberFormat="1" applyFont="1" applyFill="1" applyBorder="1" applyAlignment="1"/>
    <xf numFmtId="41" fontId="3" fillId="13" borderId="57" xfId="0" applyNumberFormat="1" applyFont="1" applyFill="1" applyBorder="1" applyAlignment="1"/>
    <xf numFmtId="41" fontId="4" fillId="23" borderId="60" xfId="0" applyNumberFormat="1" applyFont="1" applyFill="1" applyBorder="1" applyAlignment="1"/>
    <xf numFmtId="41" fontId="4" fillId="27" borderId="60" xfId="0" applyNumberFormat="1" applyFont="1" applyFill="1" applyBorder="1" applyAlignment="1"/>
    <xf numFmtId="165" fontId="4" fillId="31" borderId="60" xfId="2" applyNumberFormat="1" applyFont="1" applyFill="1" applyBorder="1" applyAlignment="1">
      <alignment horizontal="right"/>
    </xf>
    <xf numFmtId="41" fontId="4" fillId="32" borderId="60" xfId="0" applyNumberFormat="1" applyFont="1" applyFill="1" applyBorder="1" applyAlignment="1"/>
    <xf numFmtId="41" fontId="3" fillId="11" borderId="6" xfId="0" applyNumberFormat="1" applyFont="1" applyFill="1" applyBorder="1" applyAlignment="1">
      <alignment horizontal="left"/>
    </xf>
    <xf numFmtId="41" fontId="4" fillId="34" borderId="6" xfId="0" applyNumberFormat="1" applyFont="1" applyFill="1" applyBorder="1" applyAlignment="1"/>
    <xf numFmtId="165" fontId="3" fillId="13" borderId="6" xfId="2" applyNumberFormat="1" applyFont="1" applyFill="1" applyBorder="1" applyAlignment="1"/>
    <xf numFmtId="165" fontId="3" fillId="11" borderId="6" xfId="2" applyNumberFormat="1" applyFont="1" applyFill="1" applyBorder="1" applyAlignment="1"/>
    <xf numFmtId="41" fontId="3" fillId="11" borderId="56" xfId="0" applyNumberFormat="1" applyFont="1" applyFill="1" applyBorder="1" applyAlignment="1"/>
    <xf numFmtId="41" fontId="3" fillId="12" borderId="6" xfId="0" applyNumberFormat="1" applyFont="1" applyFill="1" applyBorder="1" applyAlignment="1"/>
    <xf numFmtId="41" fontId="3" fillId="12" borderId="58" xfId="0" applyNumberFormat="1" applyFont="1" applyFill="1" applyBorder="1" applyAlignment="1"/>
    <xf numFmtId="41" fontId="4" fillId="36" borderId="56" xfId="0" applyNumberFormat="1" applyFont="1" applyFill="1" applyBorder="1" applyAlignment="1">
      <alignment horizontal="right"/>
    </xf>
    <xf numFmtId="41" fontId="4" fillId="36" borderId="6" xfId="0" applyNumberFormat="1" applyFont="1" applyFill="1" applyBorder="1" applyAlignment="1">
      <alignment horizontal="right"/>
    </xf>
    <xf numFmtId="41" fontId="16" fillId="32" borderId="62" xfId="0" applyNumberFormat="1" applyFont="1" applyFill="1" applyBorder="1" applyAlignment="1"/>
    <xf numFmtId="9" fontId="4" fillId="7" borderId="4" xfId="0" applyNumberFormat="1" applyFont="1" applyFill="1" applyBorder="1" applyAlignment="1"/>
    <xf numFmtId="9" fontId="4" fillId="40" borderId="4" xfId="0" applyNumberFormat="1" applyFont="1" applyFill="1" applyBorder="1" applyAlignment="1"/>
    <xf numFmtId="9" fontId="7" fillId="12" borderId="4" xfId="1" applyNumberFormat="1" applyFont="1" applyFill="1" applyBorder="1" applyAlignment="1"/>
    <xf numFmtId="49" fontId="4" fillId="12" borderId="9" xfId="0" quotePrefix="1" applyNumberFormat="1" applyFont="1" applyFill="1" applyBorder="1" applyAlignment="1">
      <alignment horizontal="center"/>
    </xf>
    <xf numFmtId="41" fontId="3" fillId="12" borderId="5" xfId="0" applyNumberFormat="1" applyFont="1" applyFill="1" applyBorder="1" applyAlignment="1"/>
    <xf numFmtId="41" fontId="3" fillId="12" borderId="14" xfId="0" applyNumberFormat="1" applyFont="1" applyFill="1" applyBorder="1" applyAlignment="1"/>
    <xf numFmtId="41" fontId="3" fillId="0" borderId="56" xfId="0" applyNumberFormat="1" applyFont="1" applyFill="1" applyBorder="1" applyAlignment="1"/>
    <xf numFmtId="41" fontId="3" fillId="0" borderId="6" xfId="0" applyNumberFormat="1" applyFont="1" applyFill="1" applyBorder="1" applyAlignment="1"/>
    <xf numFmtId="41" fontId="3" fillId="0" borderId="58" xfId="0" applyNumberFormat="1" applyFont="1" applyFill="1" applyBorder="1" applyAlignment="1"/>
    <xf numFmtId="41" fontId="4" fillId="16" borderId="59" xfId="0" applyNumberFormat="1" applyFont="1" applyFill="1" applyBorder="1" applyAlignment="1"/>
    <xf numFmtId="41" fontId="4" fillId="16" borderId="57" xfId="0" applyNumberFormat="1" applyFont="1" applyFill="1" applyBorder="1" applyAlignment="1"/>
    <xf numFmtId="41" fontId="3" fillId="0" borderId="61" xfId="0" applyNumberFormat="1" applyFont="1" applyFill="1" applyBorder="1" applyAlignment="1"/>
    <xf numFmtId="41" fontId="3" fillId="0" borderId="57" xfId="0" applyNumberFormat="1" applyFont="1" applyFill="1" applyBorder="1" applyAlignment="1"/>
    <xf numFmtId="16" fontId="4" fillId="0" borderId="57" xfId="0" quotePrefix="1" applyNumberFormat="1" applyFont="1" applyFill="1" applyBorder="1" applyAlignment="1">
      <alignment horizontal="center"/>
    </xf>
    <xf numFmtId="165" fontId="3" fillId="0" borderId="6" xfId="2" applyNumberFormat="1" applyFont="1" applyFill="1" applyBorder="1" applyAlignment="1"/>
    <xf numFmtId="0" fontId="6" fillId="2" borderId="0" xfId="0" applyFont="1" applyFill="1" applyAlignment="1"/>
    <xf numFmtId="0" fontId="20" fillId="43" borderId="0" xfId="7" applyAlignment="1"/>
    <xf numFmtId="0" fontId="20" fillId="43" borderId="0" xfId="7"/>
    <xf numFmtId="0" fontId="7" fillId="2" borderId="0" xfId="0" quotePrefix="1" applyFont="1" applyFill="1" applyAlignment="1"/>
    <xf numFmtId="0" fontId="21" fillId="3" borderId="0" xfId="0" applyFont="1" applyFill="1" applyBorder="1" applyAlignment="1"/>
    <xf numFmtId="0" fontId="21" fillId="3" borderId="10" xfId="0" applyFont="1" applyFill="1" applyBorder="1" applyAlignment="1"/>
    <xf numFmtId="49" fontId="4" fillId="12" borderId="57" xfId="0" quotePrefix="1" applyNumberFormat="1" applyFont="1" applyFill="1" applyBorder="1" applyAlignment="1">
      <alignment horizontal="center"/>
    </xf>
    <xf numFmtId="0" fontId="0" fillId="0" borderId="0" xfId="0"/>
    <xf numFmtId="0" fontId="23" fillId="44" borderId="0" xfId="8" applyAlignment="1"/>
    <xf numFmtId="0" fontId="1" fillId="2" borderId="0" xfId="0" applyFont="1" applyFill="1" applyAlignment="1"/>
    <xf numFmtId="0" fontId="6" fillId="13" borderId="50" xfId="0" applyFont="1" applyFill="1" applyBorder="1"/>
    <xf numFmtId="0" fontId="6" fillId="13" borderId="52" xfId="0" applyFont="1" applyFill="1" applyBorder="1"/>
    <xf numFmtId="0" fontId="2" fillId="2" borderId="0" xfId="0" applyFont="1" applyFill="1" applyAlignment="1"/>
    <xf numFmtId="41" fontId="4" fillId="36" borderId="25" xfId="0" applyNumberFormat="1" applyFont="1" applyFill="1" applyBorder="1" applyAlignment="1"/>
    <xf numFmtId="41" fontId="4" fillId="12" borderId="25" xfId="0" applyNumberFormat="1" applyFont="1" applyFill="1" applyBorder="1" applyAlignment="1"/>
    <xf numFmtId="0" fontId="6" fillId="2" borderId="0" xfId="0" applyFont="1" applyFill="1"/>
    <xf numFmtId="0" fontId="6" fillId="2" borderId="7" xfId="0" applyFont="1" applyFill="1" applyBorder="1" applyAlignment="1"/>
    <xf numFmtId="0" fontId="1" fillId="2" borderId="7" xfId="0" applyFont="1" applyFill="1" applyBorder="1" applyAlignment="1"/>
    <xf numFmtId="0" fontId="1" fillId="3" borderId="7" xfId="0" applyFont="1" applyFill="1" applyBorder="1" applyAlignment="1"/>
    <xf numFmtId="0" fontId="6" fillId="3" borderId="7" xfId="0" applyFont="1" applyFill="1" applyBorder="1" applyAlignment="1"/>
    <xf numFmtId="0" fontId="6" fillId="0" borderId="7" xfId="0" applyFont="1" applyFill="1" applyBorder="1" applyAlignment="1"/>
    <xf numFmtId="0" fontId="1" fillId="0" borderId="7" xfId="0" applyFont="1" applyFill="1" applyBorder="1" applyAlignment="1"/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/>
    <xf numFmtId="0" fontId="4" fillId="0" borderId="4" xfId="0" applyFont="1" applyFill="1" applyBorder="1" applyAlignment="1"/>
    <xf numFmtId="0" fontId="3" fillId="3" borderId="4" xfId="0" applyFont="1" applyFill="1" applyBorder="1" applyAlignment="1"/>
    <xf numFmtId="0" fontId="4" fillId="0" borderId="2" xfId="0" applyFont="1" applyFill="1" applyBorder="1" applyAlignment="1"/>
    <xf numFmtId="0" fontId="3" fillId="0" borderId="2" xfId="0" applyFont="1" applyFill="1" applyBorder="1" applyAlignment="1"/>
    <xf numFmtId="0" fontId="4" fillId="12" borderId="56" xfId="0" applyFont="1" applyFill="1" applyBorder="1" applyAlignment="1"/>
    <xf numFmtId="0" fontId="4" fillId="0" borderId="56" xfId="0" applyFont="1" applyFill="1" applyBorder="1" applyAlignment="1"/>
    <xf numFmtId="49" fontId="3" fillId="2" borderId="2" xfId="0" applyNumberFormat="1" applyFont="1" applyFill="1" applyBorder="1" applyAlignment="1">
      <alignment horizontal="left" indent="1"/>
    </xf>
    <xf numFmtId="49" fontId="3" fillId="2" borderId="1" xfId="0" applyNumberFormat="1" applyFont="1" applyFill="1" applyBorder="1" applyAlignment="1">
      <alignment horizontal="left" indent="1"/>
    </xf>
    <xf numFmtId="0" fontId="3" fillId="2" borderId="12" xfId="0" applyFont="1" applyFill="1" applyBorder="1" applyAlignment="1">
      <alignment horizontal="left" indent="1"/>
    </xf>
    <xf numFmtId="0" fontId="4" fillId="16" borderId="1" xfId="0" applyFont="1" applyFill="1" applyBorder="1" applyAlignment="1">
      <alignment horizontal="left"/>
    </xf>
    <xf numFmtId="0" fontId="4" fillId="35" borderId="29" xfId="0" applyFont="1" applyFill="1" applyBorder="1" applyAlignment="1">
      <alignment horizontal="left"/>
    </xf>
    <xf numFmtId="49" fontId="4" fillId="35" borderId="8" xfId="0" applyNumberFormat="1" applyFont="1" applyFill="1" applyBorder="1" applyAlignment="1">
      <alignment horizontal="left"/>
    </xf>
    <xf numFmtId="0" fontId="4" fillId="17" borderId="16" xfId="0" applyFont="1" applyFill="1" applyBorder="1" applyAlignment="1"/>
    <xf numFmtId="0" fontId="9" fillId="18" borderId="8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indent="1"/>
    </xf>
    <xf numFmtId="0" fontId="3" fillId="0" borderId="26" xfId="0" applyFont="1" applyFill="1" applyBorder="1" applyAlignment="1">
      <alignment horizontal="left" indent="1"/>
    </xf>
    <xf numFmtId="0" fontId="3" fillId="0" borderId="12" xfId="0" applyFont="1" applyFill="1" applyBorder="1" applyAlignment="1">
      <alignment horizontal="left" indent="1"/>
    </xf>
    <xf numFmtId="0" fontId="27" fillId="2" borderId="0" xfId="0" applyFont="1" applyFill="1" applyAlignment="1"/>
    <xf numFmtId="0" fontId="3" fillId="2" borderId="1" xfId="0" applyFont="1" applyFill="1" applyBorder="1" applyAlignment="1">
      <alignment horizontal="left" indent="1"/>
    </xf>
    <xf numFmtId="0" fontId="4" fillId="21" borderId="20" xfId="0" applyFont="1" applyFill="1" applyBorder="1" applyAlignment="1">
      <alignment horizontal="left"/>
    </xf>
    <xf numFmtId="0" fontId="9" fillId="22" borderId="31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 indent="1"/>
    </xf>
    <xf numFmtId="0" fontId="3" fillId="0" borderId="25" xfId="0" applyFont="1" applyFill="1" applyBorder="1" applyAlignment="1">
      <alignment horizontal="left" indent="1"/>
    </xf>
    <xf numFmtId="0" fontId="3" fillId="2" borderId="11" xfId="0" applyFont="1" applyFill="1" applyBorder="1" applyAlignment="1">
      <alignment horizontal="left" indent="1"/>
    </xf>
    <xf numFmtId="0" fontId="3" fillId="2" borderId="23" xfId="0" applyFont="1" applyFill="1" applyBorder="1" applyAlignment="1">
      <alignment horizontal="left" indent="1"/>
    </xf>
    <xf numFmtId="0" fontId="4" fillId="23" borderId="32" xfId="0" applyFont="1" applyFill="1" applyBorder="1" applyAlignment="1">
      <alignment horizontal="left"/>
    </xf>
    <xf numFmtId="0" fontId="4" fillId="25" borderId="31" xfId="0" applyFont="1" applyFill="1" applyBorder="1" applyAlignment="1">
      <alignment horizontal="left"/>
    </xf>
    <xf numFmtId="0" fontId="3" fillId="2" borderId="32" xfId="0" applyFont="1" applyFill="1" applyBorder="1" applyAlignment="1">
      <alignment horizontal="left" indent="1"/>
    </xf>
    <xf numFmtId="0" fontId="4" fillId="27" borderId="16" xfId="0" applyFont="1" applyFill="1" applyBorder="1" applyAlignment="1">
      <alignment horizontal="left"/>
    </xf>
    <xf numFmtId="0" fontId="4" fillId="29" borderId="8" xfId="0" applyFont="1" applyFill="1" applyBorder="1" applyAlignment="1">
      <alignment horizontal="left"/>
    </xf>
    <xf numFmtId="0" fontId="4" fillId="31" borderId="16" xfId="0" applyFont="1" applyFill="1" applyBorder="1" applyAlignment="1">
      <alignment horizontal="left"/>
    </xf>
    <xf numFmtId="0" fontId="4" fillId="32" borderId="16" xfId="0" applyFont="1" applyFill="1" applyBorder="1" applyAlignment="1">
      <alignment horizontal="left"/>
    </xf>
    <xf numFmtId="0" fontId="4" fillId="0" borderId="35" xfId="0" applyFont="1" applyFill="1" applyBorder="1" applyAlignment="1">
      <alignment horizontal="left"/>
    </xf>
    <xf numFmtId="0" fontId="30" fillId="2" borderId="0" xfId="3" applyFont="1" applyFill="1" applyBorder="1" applyAlignment="1">
      <alignment horizontal="left"/>
    </xf>
    <xf numFmtId="0" fontId="15" fillId="2" borderId="0" xfId="3" applyFont="1" applyFill="1" applyBorder="1" applyAlignment="1">
      <alignment horizontal="left"/>
    </xf>
    <xf numFmtId="0" fontId="31" fillId="2" borderId="0" xfId="3" applyFont="1" applyFill="1" applyBorder="1" applyAlignment="1">
      <alignment horizontal="left"/>
    </xf>
    <xf numFmtId="0" fontId="15" fillId="0" borderId="0" xfId="3" applyFont="1" applyFill="1" applyBorder="1" applyAlignment="1">
      <alignment horizontal="left"/>
    </xf>
    <xf numFmtId="0" fontId="15" fillId="6" borderId="0" xfId="3" applyFont="1" applyFill="1" applyBorder="1" applyAlignment="1">
      <alignment horizontal="left"/>
    </xf>
    <xf numFmtId="164" fontId="15" fillId="2" borderId="0" xfId="4" applyNumberFormat="1" applyFont="1" applyFill="1" applyBorder="1" applyAlignment="1">
      <alignment horizontal="left"/>
    </xf>
    <xf numFmtId="0" fontId="4" fillId="0" borderId="36" xfId="0" applyFont="1" applyFill="1" applyBorder="1" applyAlignment="1"/>
    <xf numFmtId="0" fontId="4" fillId="15" borderId="29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3" fillId="11" borderId="1" xfId="0" applyFont="1" applyFill="1" applyBorder="1" applyAlignment="1">
      <alignment horizontal="left" indent="1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left" indent="1"/>
    </xf>
    <xf numFmtId="0" fontId="4" fillId="17" borderId="41" xfId="0" applyFont="1" applyFill="1" applyBorder="1" applyAlignment="1">
      <alignment horizontal="left"/>
    </xf>
    <xf numFmtId="0" fontId="9" fillId="18" borderId="31" xfId="0" applyFont="1" applyFill="1" applyBorder="1" applyAlignment="1">
      <alignment horizontal="left"/>
    </xf>
    <xf numFmtId="0" fontId="13" fillId="0" borderId="4" xfId="5" applyFont="1" applyBorder="1" applyAlignment="1">
      <alignment horizontal="left" indent="1"/>
    </xf>
    <xf numFmtId="49" fontId="3" fillId="2" borderId="11" xfId="0" applyNumberFormat="1" applyFont="1" applyFill="1" applyBorder="1" applyAlignment="1" applyProtection="1">
      <alignment horizontal="left" indent="1"/>
      <protection locked="0"/>
    </xf>
    <xf numFmtId="49" fontId="3" fillId="2" borderId="11" xfId="0" applyNumberFormat="1" applyFont="1" applyFill="1" applyBorder="1" applyAlignment="1">
      <alignment horizontal="left" indent="1"/>
    </xf>
    <xf numFmtId="0" fontId="9" fillId="22" borderId="8" xfId="0" applyFont="1" applyFill="1" applyBorder="1" applyAlignment="1">
      <alignment horizontal="left"/>
    </xf>
    <xf numFmtId="0" fontId="4" fillId="29" borderId="31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 indent="1"/>
    </xf>
    <xf numFmtId="0" fontId="3" fillId="3" borderId="1" xfId="0" applyFont="1" applyFill="1" applyBorder="1" applyAlignment="1">
      <alignment horizontal="left" indent="1"/>
    </xf>
    <xf numFmtId="49" fontId="4" fillId="2" borderId="31" xfId="0" applyNumberFormat="1" applyFont="1" applyFill="1" applyBorder="1" applyAlignment="1">
      <alignment horizontal="left"/>
    </xf>
    <xf numFmtId="0" fontId="6" fillId="2" borderId="33" xfId="0" applyFont="1" applyFill="1" applyBorder="1" applyAlignment="1"/>
    <xf numFmtId="0" fontId="6" fillId="0" borderId="33" xfId="0" applyFont="1" applyFill="1" applyBorder="1" applyAlignment="1"/>
    <xf numFmtId="0" fontId="6" fillId="6" borderId="33" xfId="0" applyFont="1" applyFill="1" applyBorder="1" applyAlignment="1"/>
    <xf numFmtId="0" fontId="4" fillId="36" borderId="1" xfId="0" applyFont="1" applyFill="1" applyBorder="1" applyAlignment="1">
      <alignment horizontal="right"/>
    </xf>
    <xf numFmtId="0" fontId="6" fillId="3" borderId="0" xfId="0" applyFont="1" applyFill="1" applyAlignment="1"/>
    <xf numFmtId="0" fontId="6" fillId="3" borderId="0" xfId="0" applyFont="1" applyFill="1" applyBorder="1" applyAlignment="1"/>
    <xf numFmtId="0" fontId="1" fillId="3" borderId="0" xfId="0" applyFont="1" applyFill="1" applyAlignment="1"/>
    <xf numFmtId="0" fontId="1" fillId="0" borderId="0" xfId="0" applyFont="1" applyFill="1" applyAlignment="1"/>
    <xf numFmtId="49" fontId="4" fillId="2" borderId="36" xfId="0" applyNumberFormat="1" applyFont="1" applyFill="1" applyBorder="1" applyAlignment="1">
      <alignment horizontal="left"/>
    </xf>
    <xf numFmtId="0" fontId="6" fillId="2" borderId="35" xfId="0" applyFont="1" applyFill="1" applyBorder="1" applyAlignment="1"/>
    <xf numFmtId="0" fontId="6" fillId="0" borderId="35" xfId="0" applyFont="1" applyFill="1" applyBorder="1" applyAlignment="1"/>
    <xf numFmtId="0" fontId="6" fillId="6" borderId="35" xfId="0" applyFont="1" applyFill="1" applyBorder="1" applyAlignment="1"/>
    <xf numFmtId="41" fontId="4" fillId="3" borderId="0" xfId="0" applyNumberFormat="1" applyFont="1" applyFill="1"/>
    <xf numFmtId="0" fontId="3" fillId="2" borderId="0" xfId="0" applyFont="1" applyFill="1"/>
    <xf numFmtId="0" fontId="3" fillId="2" borderId="0" xfId="0" applyFont="1" applyFill="1" applyBorder="1"/>
    <xf numFmtId="0" fontId="6" fillId="41" borderId="49" xfId="0" applyFont="1" applyFill="1" applyBorder="1" applyAlignment="1">
      <alignment horizontal="left" indent="1"/>
    </xf>
    <xf numFmtId="0" fontId="22" fillId="5" borderId="0" xfId="0" applyFont="1" applyFill="1" applyBorder="1" applyAlignment="1">
      <alignment horizontal="left"/>
    </xf>
    <xf numFmtId="0" fontId="6" fillId="12" borderId="21" xfId="0" applyFont="1" applyFill="1" applyBorder="1" applyAlignment="1">
      <alignment horizontal="left"/>
    </xf>
    <xf numFmtId="0" fontId="6" fillId="13" borderId="2" xfId="0" applyFont="1" applyFill="1" applyBorder="1" applyAlignment="1"/>
    <xf numFmtId="0" fontId="6" fillId="13" borderId="21" xfId="0" applyFont="1" applyFill="1" applyBorder="1" applyAlignment="1"/>
    <xf numFmtId="0" fontId="6" fillId="13" borderId="64" xfId="0" applyFont="1" applyFill="1" applyBorder="1" applyAlignment="1"/>
    <xf numFmtId="0" fontId="6" fillId="12" borderId="1" xfId="0" applyFont="1" applyFill="1" applyBorder="1" applyAlignment="1"/>
    <xf numFmtId="0" fontId="6" fillId="12" borderId="0" xfId="0" applyFont="1" applyFill="1" applyBorder="1" applyAlignment="1"/>
    <xf numFmtId="0" fontId="6" fillId="12" borderId="50" xfId="0" applyFont="1" applyFill="1" applyBorder="1" applyAlignment="1"/>
    <xf numFmtId="0" fontId="6" fillId="11" borderId="1" xfId="0" applyFont="1" applyFill="1" applyBorder="1" applyAlignment="1"/>
    <xf numFmtId="0" fontId="6" fillId="11" borderId="0" xfId="0" applyFont="1" applyFill="1" applyBorder="1" applyAlignment="1"/>
    <xf numFmtId="0" fontId="22" fillId="5" borderId="10" xfId="0" applyFont="1" applyFill="1" applyBorder="1" applyAlignment="1">
      <alignment horizontal="left"/>
    </xf>
    <xf numFmtId="0" fontId="6" fillId="11" borderId="30" xfId="0" applyFont="1" applyFill="1" applyBorder="1" applyAlignment="1"/>
    <xf numFmtId="0" fontId="6" fillId="11" borderId="10" xfId="0" applyFont="1" applyFill="1" applyBorder="1" applyAlignment="1"/>
    <xf numFmtId="0" fontId="6" fillId="13" borderId="10" xfId="0" applyFont="1" applyFill="1" applyBorder="1"/>
    <xf numFmtId="0" fontId="35" fillId="2" borderId="0" xfId="0" applyFont="1" applyFill="1"/>
    <xf numFmtId="0" fontId="32" fillId="2" borderId="0" xfId="0" applyFont="1" applyFill="1"/>
    <xf numFmtId="9" fontId="4" fillId="36" borderId="5" xfId="1" applyFont="1" applyFill="1" applyBorder="1" applyAlignment="1">
      <alignment horizontal="right"/>
    </xf>
    <xf numFmtId="0" fontId="4" fillId="1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36" fillId="2" borderId="0" xfId="0" applyFont="1" applyFill="1"/>
    <xf numFmtId="0" fontId="26" fillId="2" borderId="0" xfId="0" applyFont="1" applyFill="1"/>
    <xf numFmtId="0" fontId="36" fillId="2" borderId="0" xfId="0" applyFont="1" applyFill="1" applyAlignment="1">
      <alignment vertical="center"/>
    </xf>
    <xf numFmtId="0" fontId="4" fillId="35" borderId="8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left" indent="1"/>
    </xf>
    <xf numFmtId="49" fontId="3" fillId="2" borderId="25" xfId="0" applyNumberFormat="1" applyFont="1" applyFill="1" applyBorder="1" applyAlignment="1">
      <alignment horizontal="left" indent="1"/>
    </xf>
    <xf numFmtId="0" fontId="4" fillId="16" borderId="8" xfId="0" applyFont="1" applyFill="1" applyBorder="1" applyAlignment="1">
      <alignment horizontal="left"/>
    </xf>
    <xf numFmtId="41" fontId="4" fillId="36" borderId="23" xfId="0" applyNumberFormat="1" applyFont="1" applyFill="1" applyBorder="1" applyAlignment="1"/>
    <xf numFmtId="41" fontId="4" fillId="36" borderId="8" xfId="0" applyNumberFormat="1" applyFont="1" applyFill="1" applyBorder="1" applyAlignment="1"/>
    <xf numFmtId="41" fontId="4" fillId="36" borderId="57" xfId="0" applyNumberFormat="1" applyFont="1" applyFill="1" applyBorder="1" applyAlignment="1"/>
    <xf numFmtId="41" fontId="4" fillId="36" borderId="9" xfId="0" applyNumberFormat="1" applyFont="1" applyFill="1" applyBorder="1" applyAlignment="1"/>
    <xf numFmtId="164" fontId="4" fillId="39" borderId="23" xfId="0" applyNumberFormat="1" applyFont="1" applyFill="1" applyBorder="1" applyAlignment="1"/>
    <xf numFmtId="164" fontId="7" fillId="36" borderId="23" xfId="1" applyNumberFormat="1" applyFont="1" applyFill="1" applyBorder="1" applyAlignment="1"/>
    <xf numFmtId="49" fontId="3" fillId="2" borderId="12" xfId="0" applyNumberFormat="1" applyFont="1" applyFill="1" applyBorder="1" applyAlignment="1">
      <alignment horizontal="left" indent="1"/>
    </xf>
    <xf numFmtId="41" fontId="3" fillId="3" borderId="25" xfId="0" applyNumberFormat="1" applyFont="1" applyFill="1" applyBorder="1" applyAlignment="1"/>
    <xf numFmtId="41" fontId="3" fillId="6" borderId="25" xfId="0" applyNumberFormat="1" applyFont="1" applyFill="1" applyBorder="1" applyAlignment="1"/>
    <xf numFmtId="41" fontId="3" fillId="11" borderId="25" xfId="0" applyNumberFormat="1" applyFont="1" applyFill="1" applyBorder="1" applyAlignment="1"/>
    <xf numFmtId="41" fontId="3" fillId="11" borderId="58" xfId="0" applyNumberFormat="1" applyFont="1" applyFill="1" applyBorder="1" applyAlignment="1"/>
    <xf numFmtId="41" fontId="3" fillId="11" borderId="14" xfId="0" applyNumberFormat="1" applyFont="1" applyFill="1" applyBorder="1" applyAlignment="1"/>
    <xf numFmtId="41" fontId="4" fillId="36" borderId="4" xfId="0" applyNumberFormat="1" applyFont="1" applyFill="1" applyBorder="1" applyAlignment="1"/>
    <xf numFmtId="41" fontId="4" fillId="36" borderId="2" xfId="0" applyNumberFormat="1" applyFont="1" applyFill="1" applyBorder="1" applyAlignment="1"/>
    <xf numFmtId="41" fontId="4" fillId="36" borderId="56" xfId="0" applyNumberFormat="1" applyFont="1" applyFill="1" applyBorder="1" applyAlignment="1"/>
    <xf numFmtId="41" fontId="4" fillId="36" borderId="12" xfId="0" applyNumberFormat="1" applyFont="1" applyFill="1" applyBorder="1" applyAlignment="1"/>
    <xf numFmtId="41" fontId="4" fillId="36" borderId="58" xfId="0" applyNumberFormat="1" applyFont="1" applyFill="1" applyBorder="1" applyAlignment="1"/>
    <xf numFmtId="41" fontId="4" fillId="12" borderId="14" xfId="0" applyNumberFormat="1" applyFont="1" applyFill="1" applyBorder="1" applyAlignment="1"/>
    <xf numFmtId="41" fontId="3" fillId="26" borderId="33" xfId="0" applyNumberFormat="1" applyFont="1" applyFill="1" applyBorder="1"/>
    <xf numFmtId="41" fontId="13" fillId="26" borderId="33" xfId="0" applyNumberFormat="1" applyFont="1" applyFill="1" applyBorder="1"/>
    <xf numFmtId="41" fontId="4" fillId="26" borderId="33" xfId="0" applyNumberFormat="1" applyFont="1" applyFill="1" applyBorder="1"/>
    <xf numFmtId="9" fontId="10" fillId="25" borderId="34" xfId="1" applyFont="1" applyFill="1" applyBorder="1" applyAlignment="1"/>
    <xf numFmtId="0" fontId="38" fillId="2" borderId="0" xfId="0" applyFont="1" applyFill="1"/>
    <xf numFmtId="0" fontId="12" fillId="2" borderId="0" xfId="0" applyFont="1" applyFill="1"/>
    <xf numFmtId="0" fontId="13" fillId="2" borderId="0" xfId="0" applyFont="1" applyFill="1"/>
    <xf numFmtId="41" fontId="3" fillId="26" borderId="35" xfId="0" applyNumberFormat="1" applyFont="1" applyFill="1" applyBorder="1"/>
    <xf numFmtId="41" fontId="13" fillId="26" borderId="35" xfId="0" applyNumberFormat="1" applyFont="1" applyFill="1" applyBorder="1"/>
    <xf numFmtId="41" fontId="4" fillId="26" borderId="35" xfId="0" applyNumberFormat="1" applyFont="1" applyFill="1" applyBorder="1"/>
    <xf numFmtId="41" fontId="4" fillId="37" borderId="23" xfId="0" applyNumberFormat="1" applyFont="1" applyFill="1" applyBorder="1" applyAlignment="1"/>
    <xf numFmtId="0" fontId="3" fillId="2" borderId="25" xfId="0" applyFont="1" applyFill="1" applyBorder="1" applyAlignment="1"/>
    <xf numFmtId="0" fontId="3" fillId="0" borderId="2" xfId="0" applyFont="1" applyFill="1" applyBorder="1" applyAlignment="1">
      <alignment horizontal="left" indent="1"/>
    </xf>
    <xf numFmtId="0" fontId="3" fillId="2" borderId="8" xfId="0" applyFont="1" applyFill="1" applyBorder="1" applyAlignment="1">
      <alignment horizontal="left" indent="1"/>
    </xf>
    <xf numFmtId="9" fontId="4" fillId="7" borderId="23" xfId="0" applyNumberFormat="1" applyFont="1" applyFill="1" applyBorder="1" applyAlignment="1"/>
    <xf numFmtId="9" fontId="4" fillId="40" borderId="23" xfId="0" applyNumberFormat="1" applyFont="1" applyFill="1" applyBorder="1" applyAlignment="1"/>
    <xf numFmtId="9" fontId="7" fillId="12" borderId="23" xfId="1" applyNumberFormat="1" applyFont="1" applyFill="1" applyBorder="1" applyAlignment="1"/>
    <xf numFmtId="49" fontId="3" fillId="2" borderId="69" xfId="0" applyNumberFormat="1" applyFont="1" applyFill="1" applyBorder="1" applyAlignment="1">
      <alignment horizontal="left" indent="1"/>
    </xf>
    <xf numFmtId="9" fontId="4" fillId="36" borderId="23" xfId="1" applyFont="1" applyFill="1" applyBorder="1" applyAlignment="1"/>
    <xf numFmtId="9" fontId="4" fillId="35" borderId="23" xfId="1" applyFont="1" applyFill="1" applyBorder="1" applyAlignment="1"/>
    <xf numFmtId="41" fontId="3" fillId="3" borderId="25" xfId="0" applyNumberFormat="1" applyFont="1" applyFill="1" applyBorder="1" applyAlignment="1">
      <alignment horizontal="right"/>
    </xf>
    <xf numFmtId="0" fontId="3" fillId="0" borderId="8" xfId="0" applyFont="1" applyFill="1" applyBorder="1" applyAlignment="1">
      <alignment horizontal="left" indent="1"/>
    </xf>
    <xf numFmtId="0" fontId="3" fillId="0" borderId="4" xfId="0" applyFont="1" applyFill="1" applyBorder="1" applyAlignment="1">
      <alignment horizontal="left" indent="1"/>
    </xf>
    <xf numFmtId="49" fontId="3" fillId="2" borderId="69" xfId="0" applyNumberFormat="1" applyFont="1" applyFill="1" applyBorder="1" applyAlignment="1" applyProtection="1">
      <alignment horizontal="left" indent="1"/>
      <protection locked="0"/>
    </xf>
    <xf numFmtId="49" fontId="3" fillId="2" borderId="71" xfId="0" applyNumberFormat="1" applyFont="1" applyFill="1" applyBorder="1" applyAlignment="1" applyProtection="1">
      <alignment horizontal="left" indent="1"/>
      <protection locked="0"/>
    </xf>
    <xf numFmtId="41" fontId="3" fillId="48" borderId="72" xfId="0" applyNumberFormat="1" applyFont="1" applyFill="1" applyBorder="1" applyAlignment="1"/>
    <xf numFmtId="41" fontId="3" fillId="48" borderId="4" xfId="0" applyNumberFormat="1" applyFont="1" applyFill="1" applyBorder="1" applyAlignment="1"/>
    <xf numFmtId="41" fontId="3" fillId="12" borderId="4" xfId="0" applyNumberFormat="1" applyFont="1" applyFill="1" applyBorder="1" applyAlignment="1"/>
    <xf numFmtId="0" fontId="1" fillId="3" borderId="27" xfId="0" applyFont="1" applyFill="1" applyBorder="1" applyAlignment="1">
      <alignment horizontal="center" wrapText="1"/>
    </xf>
    <xf numFmtId="41" fontId="3" fillId="47" borderId="72" xfId="0" applyNumberFormat="1" applyFont="1" applyFill="1" applyBorder="1" applyAlignment="1">
      <alignment horizontal="left"/>
    </xf>
    <xf numFmtId="41" fontId="3" fillId="12" borderId="3" xfId="0" applyNumberFormat="1" applyFont="1" applyFill="1" applyBorder="1" applyAlignment="1"/>
    <xf numFmtId="0" fontId="4" fillId="2" borderId="29" xfId="0" applyFont="1" applyFill="1" applyBorder="1" applyAlignment="1"/>
    <xf numFmtId="0" fontId="4" fillId="2" borderId="27" xfId="0" applyFont="1" applyFill="1" applyBorder="1" applyAlignment="1"/>
    <xf numFmtId="0" fontId="4" fillId="2" borderId="28" xfId="0" applyFont="1" applyFill="1" applyBorder="1" applyAlignment="1"/>
    <xf numFmtId="0" fontId="4" fillId="0" borderId="1" xfId="0" applyFont="1" applyFill="1" applyBorder="1" applyAlignment="1"/>
    <xf numFmtId="0" fontId="4" fillId="0" borderId="0" xfId="0" applyFont="1" applyFill="1" applyBorder="1" applyAlignment="1"/>
    <xf numFmtId="0" fontId="4" fillId="0" borderId="5" xfId="0" applyFont="1" applyFill="1" applyBorder="1" applyAlignment="1"/>
    <xf numFmtId="0" fontId="4" fillId="15" borderId="29" xfId="0" applyFont="1" applyFill="1" applyBorder="1" applyAlignment="1"/>
    <xf numFmtId="0" fontId="4" fillId="15" borderId="27" xfId="0" applyFont="1" applyFill="1" applyBorder="1" applyAlignment="1"/>
    <xf numFmtId="0" fontId="4" fillId="15" borderId="28" xfId="0" applyFont="1" applyFill="1" applyBorder="1" applyAlignment="1"/>
    <xf numFmtId="0" fontId="4" fillId="12" borderId="3" xfId="0" applyFont="1" applyFill="1" applyBorder="1" applyAlignment="1">
      <alignment horizontal="center"/>
    </xf>
    <xf numFmtId="9" fontId="4" fillId="0" borderId="4" xfId="0" applyNumberFormat="1" applyFont="1" applyFill="1" applyBorder="1" applyAlignment="1"/>
    <xf numFmtId="41" fontId="3" fillId="13" borderId="74" xfId="0" applyNumberFormat="1" applyFont="1" applyFill="1" applyBorder="1" applyAlignment="1"/>
    <xf numFmtId="41" fontId="3" fillId="13" borderId="72" xfId="0" applyNumberFormat="1" applyFont="1" applyFill="1" applyBorder="1" applyAlignment="1"/>
    <xf numFmtId="41" fontId="3" fillId="13" borderId="75" xfId="0" applyNumberFormat="1" applyFont="1" applyFill="1" applyBorder="1" applyAlignment="1"/>
    <xf numFmtId="41" fontId="4" fillId="36" borderId="72" xfId="0" applyNumberFormat="1" applyFont="1" applyFill="1" applyBorder="1" applyAlignment="1">
      <alignment horizontal="center"/>
    </xf>
    <xf numFmtId="41" fontId="4" fillId="35" borderId="76" xfId="0" applyNumberFormat="1" applyFont="1" applyFill="1" applyBorder="1" applyAlignment="1"/>
    <xf numFmtId="41" fontId="4" fillId="35" borderId="77" xfId="0" applyNumberFormat="1" applyFont="1" applyFill="1" applyBorder="1" applyAlignment="1"/>
    <xf numFmtId="41" fontId="4" fillId="17" borderId="78" xfId="0" applyNumberFormat="1" applyFont="1" applyFill="1" applyBorder="1" applyAlignment="1"/>
    <xf numFmtId="41" fontId="3" fillId="13" borderId="79" xfId="0" applyNumberFormat="1" applyFont="1" applyFill="1" applyBorder="1" applyAlignment="1"/>
    <xf numFmtId="41" fontId="4" fillId="21" borderId="78" xfId="0" applyNumberFormat="1" applyFont="1" applyFill="1" applyBorder="1" applyAlignment="1"/>
    <xf numFmtId="41" fontId="3" fillId="13" borderId="80" xfId="0" applyNumberFormat="1" applyFont="1" applyFill="1" applyBorder="1" applyAlignment="1"/>
    <xf numFmtId="41" fontId="3" fillId="13" borderId="81" xfId="0" applyNumberFormat="1" applyFont="1" applyFill="1" applyBorder="1" applyAlignment="1"/>
    <xf numFmtId="41" fontId="3" fillId="13" borderId="82" xfId="0" applyNumberFormat="1" applyFont="1" applyFill="1" applyBorder="1" applyAlignment="1"/>
    <xf numFmtId="41" fontId="4" fillId="35" borderId="83" xfId="0" applyNumberFormat="1" applyFont="1" applyFill="1" applyBorder="1" applyAlignment="1"/>
    <xf numFmtId="41" fontId="4" fillId="35" borderId="84" xfId="0" applyNumberFormat="1" applyFont="1" applyFill="1" applyBorder="1" applyAlignment="1"/>
    <xf numFmtId="41" fontId="3" fillId="13" borderId="85" xfId="0" applyNumberFormat="1" applyFont="1" applyFill="1" applyBorder="1" applyAlignment="1"/>
    <xf numFmtId="41" fontId="4" fillId="23" borderId="78" xfId="0" applyNumberFormat="1" applyFont="1" applyFill="1" applyBorder="1" applyAlignment="1"/>
    <xf numFmtId="41" fontId="3" fillId="13" borderId="77" xfId="0" applyNumberFormat="1" applyFont="1" applyFill="1" applyBorder="1" applyAlignment="1"/>
    <xf numFmtId="41" fontId="4" fillId="27" borderId="78" xfId="0" applyNumberFormat="1" applyFont="1" applyFill="1" applyBorder="1" applyAlignment="1"/>
    <xf numFmtId="41" fontId="3" fillId="13" borderId="84" xfId="0" applyNumberFormat="1" applyFont="1" applyFill="1" applyBorder="1" applyAlignment="1"/>
    <xf numFmtId="49" fontId="4" fillId="12" borderId="74" xfId="0" quotePrefix="1" applyNumberFormat="1" applyFont="1" applyFill="1" applyBorder="1" applyAlignment="1">
      <alignment horizontal="center"/>
    </xf>
    <xf numFmtId="49" fontId="4" fillId="12" borderId="77" xfId="0" quotePrefix="1" applyNumberFormat="1" applyFont="1" applyFill="1" applyBorder="1" applyAlignment="1">
      <alignment horizontal="center"/>
    </xf>
    <xf numFmtId="0" fontId="4" fillId="12" borderId="80" xfId="0" applyFont="1" applyFill="1" applyBorder="1" applyAlignment="1">
      <alignment horizontal="center"/>
    </xf>
    <xf numFmtId="49" fontId="4" fillId="12" borderId="84" xfId="0" quotePrefix="1" applyNumberFormat="1" applyFont="1" applyFill="1" applyBorder="1" applyAlignment="1">
      <alignment horizontal="center"/>
    </xf>
    <xf numFmtId="165" fontId="4" fillId="31" borderId="78" xfId="2" applyNumberFormat="1" applyFont="1" applyFill="1" applyBorder="1" applyAlignment="1">
      <alignment horizontal="right"/>
    </xf>
    <xf numFmtId="41" fontId="4" fillId="32" borderId="78" xfId="0" applyNumberFormat="1" applyFont="1" applyFill="1" applyBorder="1" applyAlignment="1"/>
    <xf numFmtId="0" fontId="4" fillId="12" borderId="74" xfId="0" applyFont="1" applyFill="1" applyBorder="1" applyAlignment="1">
      <alignment horizontal="center"/>
    </xf>
    <xf numFmtId="49" fontId="4" fillId="12" borderId="86" xfId="0" quotePrefix="1" applyNumberFormat="1" applyFont="1" applyFill="1" applyBorder="1" applyAlignment="1">
      <alignment horizontal="center"/>
    </xf>
    <xf numFmtId="41" fontId="4" fillId="45" borderId="74" xfId="0" applyNumberFormat="1" applyFont="1" applyFill="1" applyBorder="1" applyAlignment="1"/>
    <xf numFmtId="41" fontId="3" fillId="11" borderId="75" xfId="0" applyNumberFormat="1" applyFont="1" applyFill="1" applyBorder="1" applyAlignment="1"/>
    <xf numFmtId="41" fontId="4" fillId="36" borderId="77" xfId="0" applyNumberFormat="1" applyFont="1" applyFill="1" applyBorder="1" applyAlignment="1"/>
    <xf numFmtId="41" fontId="3" fillId="11" borderId="72" xfId="0" applyNumberFormat="1" applyFont="1" applyFill="1" applyBorder="1" applyAlignment="1">
      <alignment horizontal="left"/>
    </xf>
    <xf numFmtId="41" fontId="4" fillId="46" borderId="75" xfId="0" applyNumberFormat="1" applyFont="1" applyFill="1" applyBorder="1" applyAlignment="1"/>
    <xf numFmtId="41" fontId="4" fillId="34" borderId="86" xfId="0" applyNumberFormat="1" applyFont="1" applyFill="1" applyBorder="1" applyAlignment="1"/>
    <xf numFmtId="165" fontId="3" fillId="13" borderId="72" xfId="2" applyNumberFormat="1" applyFont="1" applyFill="1" applyBorder="1" applyAlignment="1"/>
    <xf numFmtId="165" fontId="3" fillId="11" borderId="72" xfId="2" applyNumberFormat="1" applyFont="1" applyFill="1" applyBorder="1" applyAlignment="1"/>
    <xf numFmtId="41" fontId="3" fillId="11" borderId="74" xfId="0" applyNumberFormat="1" applyFont="1" applyFill="1" applyBorder="1" applyAlignment="1"/>
    <xf numFmtId="41" fontId="3" fillId="12" borderId="72" xfId="0" applyNumberFormat="1" applyFont="1" applyFill="1" applyBorder="1" applyAlignment="1"/>
    <xf numFmtId="165" fontId="3" fillId="13" borderId="0" xfId="2" applyNumberFormat="1" applyFont="1" applyFill="1" applyBorder="1" applyAlignment="1"/>
    <xf numFmtId="165" fontId="3" fillId="11" borderId="0" xfId="2" applyNumberFormat="1" applyFont="1" applyFill="1" applyBorder="1" applyAlignment="1"/>
    <xf numFmtId="41" fontId="3" fillId="12" borderId="75" xfId="0" applyNumberFormat="1" applyFont="1" applyFill="1" applyBorder="1" applyAlignment="1"/>
    <xf numFmtId="41" fontId="4" fillId="36" borderId="74" xfId="0" applyNumberFormat="1" applyFont="1" applyFill="1" applyBorder="1" applyAlignment="1">
      <alignment horizontal="right"/>
    </xf>
    <xf numFmtId="41" fontId="4" fillId="36" borderId="72" xfId="0" applyNumberFormat="1" applyFont="1" applyFill="1" applyBorder="1" applyAlignment="1">
      <alignment horizontal="right"/>
    </xf>
    <xf numFmtId="41" fontId="16" fillId="32" borderId="87" xfId="0" applyNumberFormat="1" applyFont="1" applyFill="1" applyBorder="1" applyAlignment="1"/>
    <xf numFmtId="41" fontId="3" fillId="17" borderId="2" xfId="0" applyNumberFormat="1" applyFont="1" applyFill="1" applyBorder="1" applyAlignment="1"/>
    <xf numFmtId="41" fontId="3" fillId="17" borderId="21" xfId="0" applyNumberFormat="1" applyFont="1" applyFill="1" applyBorder="1" applyAlignment="1"/>
    <xf numFmtId="41" fontId="4" fillId="17" borderId="3" xfId="0" applyNumberFormat="1" applyFont="1" applyFill="1" applyBorder="1" applyAlignment="1"/>
    <xf numFmtId="41" fontId="3" fillId="17" borderId="81" xfId="0" applyNumberFormat="1" applyFont="1" applyFill="1" applyBorder="1" applyAlignment="1"/>
    <xf numFmtId="41" fontId="3" fillId="17" borderId="5" xfId="0" applyNumberFormat="1" applyFont="1" applyFill="1" applyBorder="1" applyAlignment="1"/>
    <xf numFmtId="41" fontId="3" fillId="17" borderId="0" xfId="0" applyNumberFormat="1" applyFont="1" applyFill="1" applyBorder="1" applyAlignment="1"/>
    <xf numFmtId="41" fontId="3" fillId="24" borderId="81" xfId="0" applyNumberFormat="1" applyFont="1" applyFill="1" applyBorder="1" applyAlignment="1"/>
    <xf numFmtId="41" fontId="3" fillId="24" borderId="5" xfId="0" applyNumberFormat="1" applyFont="1" applyFill="1" applyBorder="1" applyAlignment="1"/>
    <xf numFmtId="41" fontId="3" fillId="24" borderId="11" xfId="0" applyNumberFormat="1" applyFont="1" applyFill="1" applyBorder="1" applyAlignment="1"/>
    <xf numFmtId="41" fontId="3" fillId="24" borderId="72" xfId="0" applyNumberFormat="1" applyFont="1" applyFill="1" applyBorder="1" applyAlignment="1"/>
    <xf numFmtId="41" fontId="3" fillId="22" borderId="81" xfId="0" applyNumberFormat="1" applyFont="1" applyFill="1" applyBorder="1" applyAlignment="1"/>
    <xf numFmtId="41" fontId="3" fillId="22" borderId="5" xfId="0" applyNumberFormat="1" applyFont="1" applyFill="1" applyBorder="1" applyAlignment="1"/>
    <xf numFmtId="41" fontId="3" fillId="22" borderId="11" xfId="0" applyNumberFormat="1" applyFont="1" applyFill="1" applyBorder="1" applyAlignment="1"/>
    <xf numFmtId="41" fontId="3" fillId="22" borderId="1" xfId="0" applyNumberFormat="1" applyFont="1" applyFill="1" applyBorder="1" applyAlignment="1"/>
    <xf numFmtId="41" fontId="3" fillId="22" borderId="88" xfId="0" applyNumberFormat="1" applyFont="1" applyFill="1" applyBorder="1" applyAlignment="1"/>
    <xf numFmtId="41" fontId="3" fillId="24" borderId="1" xfId="0" applyNumberFormat="1" applyFont="1" applyFill="1" applyBorder="1" applyAlignment="1"/>
    <xf numFmtId="41" fontId="3" fillId="24" borderId="0" xfId="0" applyNumberFormat="1" applyFont="1" applyFill="1" applyBorder="1" applyAlignment="1"/>
    <xf numFmtId="41" fontId="3" fillId="28" borderId="1" xfId="0" applyNumberFormat="1" applyFont="1" applyFill="1" applyBorder="1" applyAlignment="1"/>
    <xf numFmtId="41" fontId="3" fillId="28" borderId="0" xfId="0" applyNumberFormat="1" applyFont="1" applyFill="1" applyBorder="1" applyAlignment="1"/>
    <xf numFmtId="0" fontId="34" fillId="0" borderId="11" xfId="0" applyFont="1" applyFill="1" applyBorder="1" applyAlignment="1">
      <alignment horizontal="left" indent="1"/>
    </xf>
    <xf numFmtId="41" fontId="3" fillId="50" borderId="82" xfId="0" applyNumberFormat="1" applyFont="1" applyFill="1" applyBorder="1" applyAlignment="1"/>
    <xf numFmtId="41" fontId="3" fillId="50" borderId="14" xfId="0" applyNumberFormat="1" applyFont="1" applyFill="1" applyBorder="1" applyAlignment="1"/>
    <xf numFmtId="41" fontId="3" fillId="51" borderId="25" xfId="0" applyNumberFormat="1" applyFont="1" applyFill="1" applyBorder="1" applyAlignment="1"/>
    <xf numFmtId="41" fontId="3" fillId="50" borderId="25" xfId="0" applyNumberFormat="1" applyFont="1" applyFill="1" applyBorder="1" applyAlignment="1"/>
    <xf numFmtId="9" fontId="4" fillId="50" borderId="7" xfId="1" applyFont="1" applyFill="1" applyBorder="1" applyAlignment="1"/>
    <xf numFmtId="41" fontId="3" fillId="50" borderId="12" xfId="0" applyNumberFormat="1" applyFont="1" applyFill="1" applyBorder="1" applyAlignment="1"/>
    <xf numFmtId="41" fontId="3" fillId="50" borderId="13" xfId="0" applyNumberFormat="1" applyFont="1" applyFill="1" applyBorder="1" applyAlignment="1"/>
    <xf numFmtId="41" fontId="3" fillId="50" borderId="81" xfId="0" applyNumberFormat="1" applyFont="1" applyFill="1" applyBorder="1" applyAlignment="1"/>
    <xf numFmtId="0" fontId="4" fillId="36" borderId="2" xfId="0" applyFont="1" applyFill="1" applyBorder="1" applyAlignment="1">
      <alignment horizontal="left" indent="1"/>
    </xf>
    <xf numFmtId="41" fontId="4" fillId="49" borderId="74" xfId="0" applyNumberFormat="1" applyFont="1" applyFill="1" applyBorder="1" applyAlignment="1">
      <alignment horizontal="right"/>
    </xf>
    <xf numFmtId="9" fontId="4" fillId="40" borderId="4" xfId="1" applyFont="1" applyFill="1" applyBorder="1" applyAlignment="1"/>
    <xf numFmtId="0" fontId="4" fillId="36" borderId="91" xfId="0" applyFont="1" applyFill="1" applyBorder="1" applyAlignment="1">
      <alignment horizontal="left" indent="1"/>
    </xf>
    <xf numFmtId="41" fontId="4" fillId="36" borderId="90" xfId="0" applyNumberFormat="1" applyFont="1" applyFill="1" applyBorder="1" applyAlignment="1">
      <alignment horizontal="right"/>
    </xf>
    <xf numFmtId="41" fontId="4" fillId="36" borderId="91" xfId="0" applyNumberFormat="1" applyFont="1" applyFill="1" applyBorder="1" applyAlignment="1">
      <alignment horizontal="right"/>
    </xf>
    <xf numFmtId="41" fontId="4" fillId="36" borderId="92" xfId="0" applyNumberFormat="1" applyFont="1" applyFill="1" applyBorder="1" applyAlignment="1">
      <alignment horizontal="right"/>
    </xf>
    <xf numFmtId="41" fontId="4" fillId="49" borderId="93" xfId="0" applyNumberFormat="1" applyFont="1" applyFill="1" applyBorder="1" applyAlignment="1">
      <alignment horizontal="right"/>
    </xf>
    <xf numFmtId="41" fontId="4" fillId="19" borderId="94" xfId="0" applyNumberFormat="1" applyFont="1" applyFill="1" applyBorder="1" applyAlignment="1">
      <alignment horizontal="right"/>
    </xf>
    <xf numFmtId="41" fontId="4" fillId="19" borderId="90" xfId="0" applyNumberFormat="1" applyFont="1" applyFill="1" applyBorder="1" applyAlignment="1">
      <alignment horizontal="right"/>
    </xf>
    <xf numFmtId="41" fontId="4" fillId="19" borderId="91" xfId="0" applyNumberFormat="1" applyFont="1" applyFill="1" applyBorder="1" applyAlignment="1">
      <alignment horizontal="right"/>
    </xf>
    <xf numFmtId="41" fontId="4" fillId="19" borderId="89" xfId="0" applyNumberFormat="1" applyFont="1" applyFill="1" applyBorder="1" applyAlignment="1">
      <alignment horizontal="right"/>
    </xf>
    <xf numFmtId="9" fontId="4" fillId="36" borderId="90" xfId="1" applyFont="1" applyFill="1" applyBorder="1" applyAlignment="1">
      <alignment horizontal="right"/>
    </xf>
    <xf numFmtId="9" fontId="4" fillId="40" borderId="90" xfId="1" applyFont="1" applyFill="1" applyBorder="1" applyAlignment="1"/>
    <xf numFmtId="41" fontId="4" fillId="37" borderId="90" xfId="0" applyNumberFormat="1" applyFont="1" applyFill="1" applyBorder="1" applyAlignment="1">
      <alignment horizontal="right"/>
    </xf>
    <xf numFmtId="0" fontId="4" fillId="32" borderId="91" xfId="0" applyFont="1" applyFill="1" applyBorder="1" applyAlignment="1">
      <alignment horizontal="left" indent="3"/>
    </xf>
    <xf numFmtId="41" fontId="4" fillId="32" borderId="90" xfId="0" applyNumberFormat="1" applyFont="1" applyFill="1" applyBorder="1" applyAlignment="1">
      <alignment horizontal="right"/>
    </xf>
    <xf numFmtId="41" fontId="4" fillId="32" borderId="91" xfId="0" applyNumberFormat="1" applyFont="1" applyFill="1" applyBorder="1" applyAlignment="1">
      <alignment horizontal="right"/>
    </xf>
    <xf numFmtId="41" fontId="4" fillId="32" borderId="92" xfId="0" applyNumberFormat="1" applyFont="1" applyFill="1" applyBorder="1" applyAlignment="1">
      <alignment horizontal="right"/>
    </xf>
    <xf numFmtId="41" fontId="4" fillId="52" borderId="93" xfId="0" applyNumberFormat="1" applyFont="1" applyFill="1" applyBorder="1" applyAlignment="1">
      <alignment horizontal="right"/>
    </xf>
    <xf numFmtId="41" fontId="4" fillId="32" borderId="94" xfId="0" applyNumberFormat="1" applyFont="1" applyFill="1" applyBorder="1" applyAlignment="1">
      <alignment horizontal="right"/>
    </xf>
    <xf numFmtId="9" fontId="4" fillId="0" borderId="11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19" fillId="42" borderId="0" xfId="6" applyAlignment="1"/>
    <xf numFmtId="0" fontId="21" fillId="3" borderId="51" xfId="0" applyFont="1" applyFill="1" applyBorder="1" applyAlignment="1"/>
    <xf numFmtId="9" fontId="4" fillId="29" borderId="25" xfId="1" applyFont="1" applyFill="1" applyBorder="1" applyAlignment="1"/>
    <xf numFmtId="9" fontId="4" fillId="29" borderId="13" xfId="1" applyFont="1" applyFill="1" applyBorder="1" applyAlignment="1"/>
    <xf numFmtId="9" fontId="4" fillId="29" borderId="88" xfId="1" applyFont="1" applyFill="1" applyBorder="1" applyAlignment="1"/>
    <xf numFmtId="9" fontId="4" fillId="29" borderId="5" xfId="1" applyFont="1" applyFill="1" applyBorder="1" applyAlignment="1"/>
    <xf numFmtId="41" fontId="4" fillId="26" borderId="3" xfId="0" applyNumberFormat="1" applyFont="1" applyFill="1" applyBorder="1" applyAlignment="1"/>
    <xf numFmtId="41" fontId="4" fillId="26" borderId="21" xfId="0" applyNumberFormat="1" applyFont="1" applyFill="1" applyBorder="1" applyAlignment="1"/>
    <xf numFmtId="41" fontId="4" fillId="30" borderId="33" xfId="0" applyNumberFormat="1" applyFont="1" applyFill="1" applyBorder="1" applyAlignment="1"/>
    <xf numFmtId="0" fontId="4" fillId="0" borderId="4" xfId="0" applyFont="1" applyFill="1" applyBorder="1" applyAlignment="1">
      <alignment horizontal="center"/>
    </xf>
    <xf numFmtId="41" fontId="3" fillId="0" borderId="0" xfId="0" applyNumberFormat="1" applyFont="1" applyFill="1" applyBorder="1" applyAlignment="1"/>
    <xf numFmtId="41" fontId="3" fillId="17" borderId="3" xfId="0" applyNumberFormat="1" applyFont="1" applyFill="1" applyBorder="1" applyAlignment="1"/>
    <xf numFmtId="9" fontId="4" fillId="29" borderId="0" xfId="1" applyFont="1" applyFill="1" applyBorder="1" applyAlignment="1"/>
    <xf numFmtId="41" fontId="3" fillId="22" borderId="0" xfId="0" applyNumberFormat="1" applyFont="1" applyFill="1" applyBorder="1" applyAlignment="1"/>
    <xf numFmtId="41" fontId="3" fillId="22" borderId="13" xfId="0" applyNumberFormat="1" applyFont="1" applyFill="1" applyBorder="1" applyAlignment="1"/>
    <xf numFmtId="0" fontId="3" fillId="0" borderId="24" xfId="0" applyFont="1" applyFill="1" applyBorder="1" applyAlignment="1">
      <alignment horizontal="left" indent="1"/>
    </xf>
    <xf numFmtId="9" fontId="4" fillId="29" borderId="11" xfId="1" applyFont="1" applyFill="1" applyBorder="1" applyAlignment="1"/>
    <xf numFmtId="41" fontId="4" fillId="17" borderId="5" xfId="0" applyNumberFormat="1" applyFont="1" applyFill="1" applyBorder="1" applyAlignment="1"/>
    <xf numFmtId="41" fontId="4" fillId="17" borderId="11" xfId="0" applyNumberFormat="1" applyFont="1" applyFill="1" applyBorder="1" applyAlignment="1"/>
    <xf numFmtId="41" fontId="3" fillId="17" borderId="11" xfId="0" applyNumberFormat="1" applyFont="1" applyFill="1" applyBorder="1" applyAlignment="1">
      <alignment horizontal="left"/>
    </xf>
    <xf numFmtId="41" fontId="3" fillId="17" borderId="5" xfId="0" applyNumberFormat="1" applyFont="1" applyFill="1" applyBorder="1" applyAlignment="1">
      <alignment horizontal="left"/>
    </xf>
    <xf numFmtId="41" fontId="3" fillId="17" borderId="1" xfId="0" applyNumberFormat="1" applyFont="1" applyFill="1" applyBorder="1" applyAlignment="1">
      <alignment horizontal="left"/>
    </xf>
    <xf numFmtId="41" fontId="3" fillId="17" borderId="0" xfId="0" applyNumberFormat="1" applyFont="1" applyFill="1" applyBorder="1" applyAlignment="1">
      <alignment horizontal="left"/>
    </xf>
    <xf numFmtId="0" fontId="26" fillId="2" borderId="68" xfId="0" applyFont="1" applyFill="1" applyBorder="1"/>
    <xf numFmtId="0" fontId="33" fillId="2" borderId="63" xfId="0" applyFont="1" applyFill="1" applyBorder="1" applyAlignment="1">
      <alignment vertical="center"/>
    </xf>
    <xf numFmtId="0" fontId="34" fillId="2" borderId="63" xfId="0" applyFont="1" applyFill="1" applyBorder="1" applyAlignment="1">
      <alignment vertical="center"/>
    </xf>
    <xf numFmtId="0" fontId="35" fillId="2" borderId="63" xfId="0" applyFont="1" applyFill="1" applyBorder="1" applyAlignment="1">
      <alignment vertical="center"/>
    </xf>
    <xf numFmtId="0" fontId="6" fillId="2" borderId="63" xfId="0" applyFont="1" applyFill="1" applyBorder="1"/>
    <xf numFmtId="0" fontId="35" fillId="2" borderId="47" xfId="0" applyFont="1" applyFill="1" applyBorder="1" applyAlignment="1">
      <alignment vertical="center"/>
    </xf>
    <xf numFmtId="0" fontId="29" fillId="2" borderId="51" xfId="0" applyFont="1" applyFill="1" applyBorder="1" applyAlignment="1"/>
    <xf numFmtId="0" fontId="1" fillId="3" borderId="10" xfId="0" applyFont="1" applyFill="1" applyBorder="1" applyAlignment="1"/>
    <xf numFmtId="0" fontId="34" fillId="2" borderId="10" xfId="0" applyFont="1" applyFill="1" applyBorder="1" applyAlignment="1">
      <alignment vertical="center"/>
    </xf>
    <xf numFmtId="0" fontId="35" fillId="2" borderId="10" xfId="0" applyFont="1" applyFill="1" applyBorder="1" applyAlignment="1">
      <alignment vertical="center"/>
    </xf>
    <xf numFmtId="0" fontId="6" fillId="2" borderId="10" xfId="0" applyFont="1" applyFill="1" applyBorder="1"/>
    <xf numFmtId="0" fontId="35" fillId="2" borderId="52" xfId="0" applyFont="1" applyFill="1" applyBorder="1" applyAlignment="1">
      <alignment vertical="center"/>
    </xf>
    <xf numFmtId="0" fontId="4" fillId="23" borderId="41" xfId="0" applyFont="1" applyFill="1" applyBorder="1" applyAlignment="1">
      <alignment horizontal="left"/>
    </xf>
    <xf numFmtId="41" fontId="4" fillId="23" borderId="66" xfId="0" applyNumberFormat="1" applyFont="1" applyFill="1" applyBorder="1" applyAlignment="1"/>
    <xf numFmtId="41" fontId="4" fillId="23" borderId="41" xfId="0" applyNumberFormat="1" applyFont="1" applyFill="1" applyBorder="1" applyAlignment="1"/>
    <xf numFmtId="41" fontId="4" fillId="23" borderId="65" xfId="0" applyNumberFormat="1" applyFont="1" applyFill="1" applyBorder="1" applyAlignment="1"/>
    <xf numFmtId="41" fontId="4" fillId="23" borderId="86" xfId="0" applyNumberFormat="1" applyFont="1" applyFill="1" applyBorder="1" applyAlignment="1"/>
    <xf numFmtId="41" fontId="4" fillId="23" borderId="67" xfId="0" applyNumberFormat="1" applyFont="1" applyFill="1" applyBorder="1" applyAlignment="1"/>
    <xf numFmtId="0" fontId="4" fillId="21" borderId="96" xfId="0" applyFont="1" applyFill="1" applyBorder="1" applyAlignment="1">
      <alignment horizontal="left"/>
    </xf>
    <xf numFmtId="41" fontId="4" fillId="21" borderId="97" xfId="0" applyNumberFormat="1" applyFont="1" applyFill="1" applyBorder="1" applyAlignment="1"/>
    <xf numFmtId="41" fontId="4" fillId="21" borderId="96" xfId="0" applyNumberFormat="1" applyFont="1" applyFill="1" applyBorder="1" applyAlignment="1"/>
    <xf numFmtId="41" fontId="4" fillId="21" borderId="98" xfId="0" applyNumberFormat="1" applyFont="1" applyFill="1" applyBorder="1" applyAlignment="1"/>
    <xf numFmtId="41" fontId="4" fillId="21" borderId="99" xfId="0" applyNumberFormat="1" applyFont="1" applyFill="1" applyBorder="1" applyAlignment="1"/>
    <xf numFmtId="41" fontId="4" fillId="21" borderId="100" xfId="0" applyNumberFormat="1" applyFont="1" applyFill="1" applyBorder="1" applyAlignment="1"/>
    <xf numFmtId="9" fontId="4" fillId="21" borderId="97" xfId="1" applyFont="1" applyFill="1" applyBorder="1" applyAlignment="1"/>
    <xf numFmtId="41" fontId="3" fillId="2" borderId="73" xfId="0" applyNumberFormat="1" applyFont="1" applyFill="1" applyBorder="1" applyAlignment="1"/>
    <xf numFmtId="41" fontId="3" fillId="3" borderId="73" xfId="0" applyNumberFormat="1" applyFont="1" applyFill="1" applyBorder="1" applyAlignment="1"/>
    <xf numFmtId="41" fontId="3" fillId="0" borderId="73" xfId="0" applyNumberFormat="1" applyFont="1" applyFill="1" applyBorder="1" applyAlignment="1"/>
    <xf numFmtId="41" fontId="3" fillId="6" borderId="73" xfId="0" applyNumberFormat="1" applyFont="1" applyFill="1" applyBorder="1" applyAlignment="1"/>
    <xf numFmtId="41" fontId="3" fillId="0" borderId="101" xfId="0" applyNumberFormat="1" applyFont="1" applyFill="1" applyBorder="1" applyAlignment="1"/>
    <xf numFmtId="41" fontId="3" fillId="11" borderId="73" xfId="0" applyNumberFormat="1" applyFont="1" applyFill="1" applyBorder="1" applyAlignment="1"/>
    <xf numFmtId="164" fontId="4" fillId="40" borderId="73" xfId="0" applyNumberFormat="1" applyFont="1" applyFill="1" applyBorder="1" applyAlignment="1"/>
    <xf numFmtId="164" fontId="7" fillId="12" borderId="73" xfId="1" applyNumberFormat="1" applyFont="1" applyFill="1" applyBorder="1" applyAlignment="1"/>
    <xf numFmtId="41" fontId="4" fillId="37" borderId="73" xfId="0" applyNumberFormat="1" applyFont="1" applyFill="1" applyBorder="1" applyAlignment="1"/>
    <xf numFmtId="41" fontId="4" fillId="12" borderId="72" xfId="0" applyNumberFormat="1" applyFont="1" applyFill="1" applyBorder="1" applyAlignment="1"/>
    <xf numFmtId="41" fontId="4" fillId="12" borderId="5" xfId="0" applyNumberFormat="1" applyFont="1" applyFill="1" applyBorder="1" applyAlignment="1"/>
    <xf numFmtId="41" fontId="4" fillId="12" borderId="11" xfId="0" applyNumberFormat="1" applyFont="1" applyFill="1" applyBorder="1" applyAlignment="1"/>
    <xf numFmtId="0" fontId="4" fillId="29" borderId="66" xfId="0" applyFont="1" applyFill="1" applyBorder="1" applyAlignment="1">
      <alignment horizontal="left"/>
    </xf>
    <xf numFmtId="41" fontId="4" fillId="30" borderId="66" xfId="0" applyNumberFormat="1" applyFont="1" applyFill="1" applyBorder="1" applyAlignment="1"/>
    <xf numFmtId="41" fontId="4" fillId="30" borderId="41" xfId="0" applyNumberFormat="1" applyFont="1" applyFill="1" applyBorder="1" applyAlignment="1"/>
    <xf numFmtId="41" fontId="4" fillId="30" borderId="65" xfId="0" applyNumberFormat="1" applyFont="1" applyFill="1" applyBorder="1" applyAlignment="1"/>
    <xf numFmtId="41" fontId="4" fillId="30" borderId="86" xfId="0" applyNumberFormat="1" applyFont="1" applyFill="1" applyBorder="1" applyAlignment="1"/>
    <xf numFmtId="41" fontId="4" fillId="30" borderId="67" xfId="0" applyNumberFormat="1" applyFont="1" applyFill="1" applyBorder="1" applyAlignment="1"/>
    <xf numFmtId="9" fontId="4" fillId="30" borderId="66" xfId="1" applyFont="1" applyFill="1" applyBorder="1" applyAlignment="1"/>
    <xf numFmtId="0" fontId="4" fillId="25" borderId="91" xfId="0" applyFont="1" applyFill="1" applyBorder="1" applyAlignment="1">
      <alignment horizontal="left"/>
    </xf>
    <xf numFmtId="41" fontId="4" fillId="26" borderId="97" xfId="0" applyNumberFormat="1" applyFont="1" applyFill="1" applyBorder="1" applyAlignment="1"/>
    <xf numFmtId="41" fontId="7" fillId="26" borderId="97" xfId="0" applyNumberFormat="1" applyFont="1" applyFill="1" applyBorder="1" applyAlignment="1"/>
    <xf numFmtId="41" fontId="4" fillId="26" borderId="96" xfId="0" applyNumberFormat="1" applyFont="1" applyFill="1" applyBorder="1" applyAlignment="1"/>
    <xf numFmtId="41" fontId="4" fillId="26" borderId="98" xfId="0" applyNumberFormat="1" applyFont="1" applyFill="1" applyBorder="1" applyAlignment="1"/>
    <xf numFmtId="41" fontId="4" fillId="26" borderId="99" xfId="0" applyNumberFormat="1" applyFont="1" applyFill="1" applyBorder="1" applyAlignment="1"/>
    <xf numFmtId="41" fontId="4" fillId="26" borderId="100" xfId="0" applyNumberFormat="1" applyFont="1" applyFill="1" applyBorder="1" applyAlignment="1"/>
    <xf numFmtId="165" fontId="4" fillId="25" borderId="97" xfId="2" applyNumberFormat="1" applyFont="1" applyFill="1" applyBorder="1" applyAlignment="1"/>
    <xf numFmtId="9" fontId="4" fillId="25" borderId="97" xfId="1" applyFont="1" applyFill="1" applyBorder="1" applyAlignment="1"/>
    <xf numFmtId="0" fontId="13" fillId="0" borderId="101" xfId="5" applyFont="1" applyBorder="1" applyAlignment="1">
      <alignment horizontal="left" indent="1"/>
    </xf>
    <xf numFmtId="41" fontId="4" fillId="11" borderId="73" xfId="0" applyNumberFormat="1" applyFont="1" applyFill="1" applyBorder="1" applyAlignment="1"/>
    <xf numFmtId="41" fontId="3" fillId="11" borderId="101" xfId="0" applyNumberFormat="1" applyFont="1" applyFill="1" applyBorder="1" applyAlignment="1"/>
    <xf numFmtId="9" fontId="4" fillId="40" borderId="73" xfId="0" applyNumberFormat="1" applyFont="1" applyFill="1" applyBorder="1" applyAlignment="1"/>
    <xf numFmtId="9" fontId="7" fillId="12" borderId="73" xfId="1" applyNumberFormat="1" applyFont="1" applyFill="1" applyBorder="1" applyAlignment="1"/>
    <xf numFmtId="0" fontId="3" fillId="3" borderId="25" xfId="0" applyFont="1" applyFill="1" applyBorder="1" applyAlignment="1"/>
    <xf numFmtId="0" fontId="3" fillId="2" borderId="26" xfId="0" applyFont="1" applyFill="1" applyBorder="1" applyAlignment="1">
      <alignment horizontal="left" indent="1"/>
    </xf>
    <xf numFmtId="41" fontId="3" fillId="13" borderId="102" xfId="0" applyNumberFormat="1" applyFont="1" applyFill="1" applyBorder="1" applyAlignment="1"/>
    <xf numFmtId="41" fontId="3" fillId="13" borderId="15" xfId="0" applyNumberFormat="1" applyFont="1" applyFill="1" applyBorder="1" applyAlignment="1"/>
    <xf numFmtId="41" fontId="3" fillId="17" borderId="15" xfId="0" applyNumberFormat="1" applyFont="1" applyFill="1" applyBorder="1" applyAlignment="1"/>
    <xf numFmtId="41" fontId="3" fillId="13" borderId="103" xfId="0" applyNumberFormat="1" applyFont="1" applyFill="1" applyBorder="1" applyAlignment="1"/>
    <xf numFmtId="41" fontId="3" fillId="13" borderId="104" xfId="0" applyNumberFormat="1" applyFont="1" applyFill="1" applyBorder="1" applyAlignment="1"/>
    <xf numFmtId="41" fontId="4" fillId="36" borderId="15" xfId="0" applyNumberFormat="1" applyFont="1" applyFill="1" applyBorder="1" applyAlignment="1">
      <alignment horizontal="center"/>
    </xf>
    <xf numFmtId="41" fontId="4" fillId="35" borderId="105" xfId="0" applyNumberFormat="1" applyFont="1" applyFill="1" applyBorder="1" applyAlignment="1"/>
    <xf numFmtId="41" fontId="4" fillId="35" borderId="18" xfId="0" applyNumberFormat="1" applyFont="1" applyFill="1" applyBorder="1" applyAlignment="1"/>
    <xf numFmtId="41" fontId="4" fillId="17" borderId="106" xfId="0" applyNumberFormat="1" applyFont="1" applyFill="1" applyBorder="1" applyAlignment="1"/>
    <xf numFmtId="41" fontId="4" fillId="21" borderId="106" xfId="0" applyNumberFormat="1" applyFont="1" applyFill="1" applyBorder="1" applyAlignment="1"/>
    <xf numFmtId="41" fontId="3" fillId="24" borderId="15" xfId="0" applyNumberFormat="1" applyFont="1" applyFill="1" applyBorder="1" applyAlignment="1"/>
    <xf numFmtId="41" fontId="3" fillId="22" borderId="15" xfId="0" applyNumberFormat="1" applyFont="1" applyFill="1" applyBorder="1" applyAlignment="1"/>
    <xf numFmtId="41" fontId="3" fillId="24" borderId="104" xfId="0" applyNumberFormat="1" applyFont="1" applyFill="1" applyBorder="1" applyAlignment="1"/>
    <xf numFmtId="41" fontId="3" fillId="22" borderId="18" xfId="0" applyNumberFormat="1" applyFont="1" applyFill="1" applyBorder="1" applyAlignment="1"/>
    <xf numFmtId="41" fontId="4" fillId="23" borderId="106" xfId="0" applyNumberFormat="1" applyFont="1" applyFill="1" applyBorder="1" applyAlignment="1"/>
    <xf numFmtId="41" fontId="3" fillId="25" borderId="15" xfId="0" applyNumberFormat="1" applyFont="1" applyFill="1" applyBorder="1" applyAlignment="1"/>
    <xf numFmtId="41" fontId="3" fillId="13" borderId="18" xfId="0" applyNumberFormat="1" applyFont="1" applyFill="1" applyBorder="1" applyAlignment="1"/>
    <xf numFmtId="41" fontId="4" fillId="27" borderId="106" xfId="0" applyNumberFormat="1" applyFont="1" applyFill="1" applyBorder="1" applyAlignment="1"/>
    <xf numFmtId="9" fontId="4" fillId="29" borderId="104" xfId="1" applyFont="1" applyFill="1" applyBorder="1" applyAlignment="1"/>
    <xf numFmtId="9" fontId="4" fillId="29" borderId="15" xfId="1" applyFont="1" applyFill="1" applyBorder="1" applyAlignment="1"/>
    <xf numFmtId="165" fontId="4" fillId="31" borderId="106" xfId="2" applyNumberFormat="1" applyFont="1" applyFill="1" applyBorder="1" applyAlignment="1">
      <alignment horizontal="right"/>
    </xf>
    <xf numFmtId="41" fontId="4" fillId="32" borderId="106" xfId="0" applyNumberFormat="1" applyFont="1" applyFill="1" applyBorder="1" applyAlignment="1"/>
    <xf numFmtId="0" fontId="4" fillId="12" borderId="102" xfId="0" applyFont="1" applyFill="1" applyBorder="1" applyAlignment="1">
      <alignment horizontal="center"/>
    </xf>
    <xf numFmtId="49" fontId="4" fillId="12" borderId="18" xfId="0" quotePrefix="1" applyNumberFormat="1" applyFont="1" applyFill="1" applyBorder="1" applyAlignment="1">
      <alignment horizontal="center"/>
    </xf>
    <xf numFmtId="41" fontId="3" fillId="17" borderId="102" xfId="0" applyNumberFormat="1" applyFont="1" applyFill="1" applyBorder="1" applyAlignment="1"/>
    <xf numFmtId="41" fontId="3" fillId="11" borderId="104" xfId="0" applyNumberFormat="1" applyFont="1" applyFill="1" applyBorder="1" applyAlignment="1"/>
    <xf numFmtId="41" fontId="4" fillId="36" borderId="18" xfId="0" applyNumberFormat="1" applyFont="1" applyFill="1" applyBorder="1" applyAlignment="1"/>
    <xf numFmtId="41" fontId="3" fillId="11" borderId="102" xfId="0" applyNumberFormat="1" applyFont="1" applyFill="1" applyBorder="1" applyAlignment="1"/>
    <xf numFmtId="41" fontId="3" fillId="17" borderId="15" xfId="0" applyNumberFormat="1" applyFont="1" applyFill="1" applyBorder="1" applyAlignment="1">
      <alignment horizontal="left"/>
    </xf>
    <xf numFmtId="41" fontId="3" fillId="11" borderId="15" xfId="0" applyNumberFormat="1" applyFont="1" applyFill="1" applyBorder="1" applyAlignment="1">
      <alignment horizontal="left"/>
    </xf>
    <xf numFmtId="41" fontId="3" fillId="17" borderId="102" xfId="0" applyNumberFormat="1" applyFont="1" applyFill="1" applyBorder="1" applyAlignment="1">
      <alignment horizontal="left"/>
    </xf>
    <xf numFmtId="41" fontId="3" fillId="12" borderId="104" xfId="0" applyNumberFormat="1" applyFont="1" applyFill="1" applyBorder="1" applyAlignment="1"/>
    <xf numFmtId="41" fontId="4" fillId="34" borderId="107" xfId="0" applyNumberFormat="1" applyFont="1" applyFill="1" applyBorder="1" applyAlignment="1"/>
    <xf numFmtId="165" fontId="3" fillId="13" borderId="102" xfId="2" applyNumberFormat="1" applyFont="1" applyFill="1" applyBorder="1" applyAlignment="1"/>
    <xf numFmtId="165" fontId="3" fillId="11" borderId="15" xfId="2" applyNumberFormat="1" applyFont="1" applyFill="1" applyBorder="1" applyAlignment="1"/>
    <xf numFmtId="165" fontId="3" fillId="13" borderId="15" xfId="2" applyNumberFormat="1" applyFont="1" applyFill="1" applyBorder="1" applyAlignment="1"/>
    <xf numFmtId="41" fontId="4" fillId="21" borderId="108" xfId="0" applyNumberFormat="1" applyFont="1" applyFill="1" applyBorder="1" applyAlignment="1"/>
    <xf numFmtId="41" fontId="4" fillId="23" borderId="107" xfId="0" applyNumberFormat="1" applyFont="1" applyFill="1" applyBorder="1" applyAlignment="1"/>
    <xf numFmtId="41" fontId="4" fillId="26" borderId="102" xfId="0" applyNumberFormat="1" applyFont="1" applyFill="1" applyBorder="1" applyAlignment="1"/>
    <xf numFmtId="41" fontId="4" fillId="12" borderId="15" xfId="0" applyNumberFormat="1" applyFont="1" applyFill="1" applyBorder="1" applyAlignment="1"/>
    <xf numFmtId="41" fontId="4" fillId="26" borderId="108" xfId="0" applyNumberFormat="1" applyFont="1" applyFill="1" applyBorder="1" applyAlignment="1"/>
    <xf numFmtId="9" fontId="4" fillId="29" borderId="102" xfId="1" applyFont="1" applyFill="1" applyBorder="1" applyAlignment="1"/>
    <xf numFmtId="41" fontId="3" fillId="12" borderId="15" xfId="0" applyNumberFormat="1" applyFont="1" applyFill="1" applyBorder="1" applyAlignment="1"/>
    <xf numFmtId="41" fontId="4" fillId="30" borderId="107" xfId="0" applyNumberFormat="1" applyFont="1" applyFill="1" applyBorder="1" applyAlignment="1"/>
    <xf numFmtId="41" fontId="4" fillId="36" borderId="102" xfId="0" applyNumberFormat="1" applyFont="1" applyFill="1" applyBorder="1" applyAlignment="1">
      <alignment horizontal="right"/>
    </xf>
    <xf numFmtId="41" fontId="4" fillId="36" borderId="15" xfId="0" applyNumberFormat="1" applyFont="1" applyFill="1" applyBorder="1" applyAlignment="1">
      <alignment horizontal="right"/>
    </xf>
    <xf numFmtId="41" fontId="16" fillId="32" borderId="109" xfId="0" applyNumberFormat="1" applyFont="1" applyFill="1" applyBorder="1" applyAlignment="1"/>
    <xf numFmtId="41" fontId="4" fillId="14" borderId="102" xfId="0" applyNumberFormat="1" applyFont="1" applyFill="1" applyBorder="1" applyAlignment="1">
      <alignment horizontal="right"/>
    </xf>
    <xf numFmtId="41" fontId="4" fillId="19" borderId="110" xfId="0" applyNumberFormat="1" applyFont="1" applyFill="1" applyBorder="1" applyAlignment="1">
      <alignment horizontal="right"/>
    </xf>
    <xf numFmtId="41" fontId="4" fillId="32" borderId="110" xfId="0" applyNumberFormat="1" applyFont="1" applyFill="1" applyBorder="1" applyAlignment="1">
      <alignment horizontal="right"/>
    </xf>
    <xf numFmtId="41" fontId="4" fillId="17" borderId="21" xfId="0" applyNumberFormat="1" applyFont="1" applyFill="1" applyBorder="1" applyAlignment="1"/>
    <xf numFmtId="41" fontId="4" fillId="9" borderId="26" xfId="0" applyNumberFormat="1" applyFont="1" applyFill="1" applyBorder="1" applyAlignment="1"/>
    <xf numFmtId="41" fontId="4" fillId="9" borderId="12" xfId="0" applyNumberFormat="1" applyFont="1" applyFill="1" applyBorder="1" applyAlignment="1"/>
    <xf numFmtId="41" fontId="4" fillId="14" borderId="1" xfId="0" applyNumberFormat="1" applyFont="1" applyFill="1" applyBorder="1" applyAlignment="1">
      <alignment horizontal="center"/>
    </xf>
    <xf numFmtId="41" fontId="4" fillId="9" borderId="29" xfId="0" applyNumberFormat="1" applyFont="1" applyFill="1" applyBorder="1" applyAlignment="1"/>
    <xf numFmtId="41" fontId="4" fillId="9" borderId="8" xfId="0" applyNumberFormat="1" applyFont="1" applyFill="1" applyBorder="1" applyAlignment="1"/>
    <xf numFmtId="41" fontId="4" fillId="9" borderId="101" xfId="0" applyNumberFormat="1" applyFont="1" applyFill="1" applyBorder="1" applyAlignment="1"/>
    <xf numFmtId="41" fontId="4" fillId="28" borderId="0" xfId="0" applyNumberFormat="1" applyFont="1" applyFill="1" applyBorder="1" applyAlignment="1"/>
    <xf numFmtId="0" fontId="4" fillId="4" borderId="101" xfId="0" applyFont="1" applyFill="1" applyBorder="1" applyAlignment="1">
      <alignment horizontal="center"/>
    </xf>
    <xf numFmtId="49" fontId="4" fillId="4" borderId="8" xfId="0" quotePrefix="1" applyNumberFormat="1" applyFont="1" applyFill="1" applyBorder="1" applyAlignment="1">
      <alignment horizontal="center"/>
    </xf>
    <xf numFmtId="41" fontId="4" fillId="8" borderId="12" xfId="0" applyNumberFormat="1" applyFont="1" applyFill="1" applyBorder="1" applyAlignment="1"/>
    <xf numFmtId="41" fontId="4" fillId="14" borderId="8" xfId="0" applyNumberFormat="1" applyFont="1" applyFill="1" applyBorder="1" applyAlignment="1"/>
    <xf numFmtId="41" fontId="4" fillId="10" borderId="101" xfId="0" applyNumberFormat="1" applyFont="1" applyFill="1" applyBorder="1" applyAlignment="1"/>
    <xf numFmtId="41" fontId="4" fillId="10" borderId="1" xfId="0" applyNumberFormat="1" applyFont="1" applyFill="1" applyBorder="1" applyAlignment="1">
      <alignment horizontal="left"/>
    </xf>
    <xf numFmtId="41" fontId="4" fillId="14" borderId="101" xfId="0" applyNumberFormat="1" applyFont="1" applyFill="1" applyBorder="1" applyAlignment="1"/>
    <xf numFmtId="41" fontId="4" fillId="14" borderId="12" xfId="0" applyNumberFormat="1" applyFont="1" applyFill="1" applyBorder="1" applyAlignment="1"/>
    <xf numFmtId="41" fontId="4" fillId="35" borderId="8" xfId="0" applyNumberFormat="1" applyFont="1" applyFill="1" applyBorder="1" applyAlignment="1"/>
    <xf numFmtId="41" fontId="4" fillId="8" borderId="101" xfId="0" applyNumberFormat="1" applyFont="1" applyFill="1" applyBorder="1" applyAlignment="1"/>
    <xf numFmtId="41" fontId="4" fillId="4" borderId="12" xfId="0" applyNumberFormat="1" applyFont="1" applyFill="1" applyBorder="1" applyAlignment="1"/>
    <xf numFmtId="41" fontId="4" fillId="14" borderId="1" xfId="0" applyNumberFormat="1" applyFont="1" applyFill="1" applyBorder="1" applyAlignment="1"/>
    <xf numFmtId="165" fontId="4" fillId="25" borderId="96" xfId="2" applyNumberFormat="1" applyFont="1" applyFill="1" applyBorder="1" applyAlignment="1"/>
    <xf numFmtId="41" fontId="4" fillId="4" borderId="1" xfId="0" applyNumberFormat="1" applyFont="1" applyFill="1" applyBorder="1" applyAlignment="1"/>
    <xf numFmtId="41" fontId="4" fillId="36" borderId="101" xfId="0" applyNumberFormat="1" applyFont="1" applyFill="1" applyBorder="1" applyAlignment="1">
      <alignment horizontal="right"/>
    </xf>
    <xf numFmtId="41" fontId="4" fillId="14" borderId="101" xfId="0" applyNumberFormat="1" applyFont="1" applyFill="1" applyBorder="1" applyAlignment="1">
      <alignment horizontal="right"/>
    </xf>
    <xf numFmtId="41" fontId="4" fillId="14" borderId="91" xfId="0" applyNumberFormat="1" applyFont="1" applyFill="1" applyBorder="1" applyAlignment="1">
      <alignment horizontal="right"/>
    </xf>
    <xf numFmtId="9" fontId="4" fillId="0" borderId="95" xfId="0" applyNumberFormat="1" applyFont="1" applyFill="1" applyBorder="1" applyAlignment="1"/>
    <xf numFmtId="9" fontId="4" fillId="0" borderId="111" xfId="0" applyNumberFormat="1" applyFont="1" applyFill="1" applyBorder="1" applyAlignment="1"/>
    <xf numFmtId="9" fontId="4" fillId="7" borderId="111" xfId="0" applyNumberFormat="1" applyFont="1" applyFill="1" applyBorder="1" applyAlignment="1"/>
    <xf numFmtId="9" fontId="4" fillId="7" borderId="112" xfId="0" applyNumberFormat="1" applyFont="1" applyFill="1" applyBorder="1" applyAlignment="1"/>
    <xf numFmtId="9" fontId="4" fillId="7" borderId="113" xfId="0" applyNumberFormat="1" applyFont="1" applyFill="1" applyBorder="1" applyAlignment="1"/>
    <xf numFmtId="9" fontId="4" fillId="39" borderId="111" xfId="0" applyNumberFormat="1" applyFont="1" applyFill="1" applyBorder="1" applyAlignment="1"/>
    <xf numFmtId="9" fontId="4" fillId="39" borderId="114" xfId="0" applyNumberFormat="1" applyFont="1" applyFill="1" applyBorder="1" applyAlignment="1"/>
    <xf numFmtId="9" fontId="4" fillId="17" borderId="115" xfId="1" applyNumberFormat="1" applyFont="1" applyFill="1" applyBorder="1" applyAlignment="1">
      <alignment horizontal="right"/>
    </xf>
    <xf numFmtId="9" fontId="4" fillId="7" borderId="95" xfId="0" applyNumberFormat="1" applyFont="1" applyFill="1" applyBorder="1" applyAlignment="1"/>
    <xf numFmtId="41" fontId="4" fillId="9" borderId="116" xfId="0" applyNumberFormat="1" applyFont="1" applyFill="1" applyBorder="1" applyAlignment="1"/>
    <xf numFmtId="9" fontId="4" fillId="21" borderId="115" xfId="1" applyFont="1" applyFill="1" applyBorder="1" applyAlignment="1"/>
    <xf numFmtId="9" fontId="4" fillId="7" borderId="117" xfId="0" applyNumberFormat="1" applyFont="1" applyFill="1" applyBorder="1" applyAlignment="1"/>
    <xf numFmtId="9" fontId="4" fillId="23" borderId="118" xfId="1" applyFont="1" applyFill="1" applyBorder="1" applyAlignment="1"/>
    <xf numFmtId="9" fontId="4" fillId="27" borderId="115" xfId="1" applyFont="1" applyFill="1" applyBorder="1" applyAlignment="1"/>
    <xf numFmtId="164" fontId="4" fillId="7" borderId="95" xfId="0" applyNumberFormat="1" applyFont="1" applyFill="1" applyBorder="1" applyAlignment="1"/>
    <xf numFmtId="9" fontId="4" fillId="31" borderId="115" xfId="1" applyFont="1" applyFill="1" applyBorder="1" applyAlignment="1">
      <alignment horizontal="right"/>
    </xf>
    <xf numFmtId="9" fontId="4" fillId="32" borderId="115" xfId="1" applyFont="1" applyFill="1" applyBorder="1" applyAlignment="1"/>
    <xf numFmtId="164" fontId="4" fillId="7" borderId="113" xfId="0" applyNumberFormat="1" applyFont="1" applyFill="1" applyBorder="1" applyAlignment="1"/>
    <xf numFmtId="164" fontId="4" fillId="39" borderId="117" xfId="0" applyNumberFormat="1" applyFont="1" applyFill="1" applyBorder="1" applyAlignment="1"/>
    <xf numFmtId="164" fontId="4" fillId="7" borderId="111" xfId="0" applyNumberFormat="1" applyFont="1" applyFill="1" applyBorder="1" applyAlignment="1"/>
    <xf numFmtId="9" fontId="4" fillId="36" borderId="117" xfId="1" applyFont="1" applyFill="1" applyBorder="1" applyAlignment="1"/>
    <xf numFmtId="9" fontId="4" fillId="35" borderId="117" xfId="1" applyFont="1" applyFill="1" applyBorder="1" applyAlignment="1"/>
    <xf numFmtId="9" fontId="4" fillId="34" borderId="111" xfId="1" applyFont="1" applyFill="1" applyBorder="1" applyAlignment="1"/>
    <xf numFmtId="9" fontId="4" fillId="21" borderId="119" xfId="1" applyFont="1" applyFill="1" applyBorder="1" applyAlignment="1"/>
    <xf numFmtId="41" fontId="4" fillId="23" borderId="120" xfId="0" applyNumberFormat="1" applyFont="1" applyFill="1" applyBorder="1" applyAlignment="1"/>
    <xf numFmtId="9" fontId="4" fillId="25" borderId="119" xfId="1" applyFont="1" applyFill="1" applyBorder="1" applyAlignment="1"/>
    <xf numFmtId="9" fontId="4" fillId="30" borderId="120" xfId="1" applyFont="1" applyFill="1" applyBorder="1" applyAlignment="1"/>
    <xf numFmtId="9" fontId="4" fillId="36" borderId="95" xfId="1" applyFont="1" applyFill="1" applyBorder="1" applyAlignment="1">
      <alignment horizontal="right"/>
    </xf>
    <xf numFmtId="9" fontId="4" fillId="36" borderId="111" xfId="1" applyFont="1" applyFill="1" applyBorder="1" applyAlignment="1">
      <alignment horizontal="right"/>
    </xf>
    <xf numFmtId="9" fontId="4" fillId="36" borderId="116" xfId="1" applyFont="1" applyFill="1" applyBorder="1" applyAlignment="1">
      <alignment horizontal="right"/>
    </xf>
    <xf numFmtId="9" fontId="4" fillId="32" borderId="121" xfId="1" applyFont="1" applyFill="1" applyBorder="1" applyAlignment="1"/>
    <xf numFmtId="0" fontId="6" fillId="2" borderId="116" xfId="0" applyFont="1" applyFill="1" applyBorder="1" applyAlignment="1"/>
    <xf numFmtId="9" fontId="4" fillId="32" borderId="122" xfId="1" applyFont="1" applyFill="1" applyBorder="1" applyAlignment="1"/>
    <xf numFmtId="9" fontId="4" fillId="36" borderId="123" xfId="1" applyFont="1" applyFill="1" applyBorder="1" applyAlignment="1">
      <alignment horizontal="right"/>
    </xf>
    <xf numFmtId="0" fontId="24" fillId="2" borderId="0" xfId="0" applyFont="1" applyFill="1" applyAlignment="1">
      <alignment horizontal="center"/>
    </xf>
    <xf numFmtId="0" fontId="25" fillId="7" borderId="4" xfId="0" applyFont="1" applyFill="1" applyBorder="1" applyAlignment="1">
      <alignment horizontal="center" wrapText="1"/>
    </xf>
    <xf numFmtId="0" fontId="25" fillId="7" borderId="23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25" fillId="7" borderId="95" xfId="0" applyFont="1" applyFill="1" applyBorder="1" applyAlignment="1">
      <alignment horizontal="center" wrapText="1"/>
    </xf>
    <xf numFmtId="0" fontId="25" fillId="7" borderId="117" xfId="0" applyFont="1" applyFill="1" applyBorder="1" applyAlignment="1">
      <alignment horizontal="center" wrapText="1"/>
    </xf>
    <xf numFmtId="0" fontId="25" fillId="40" borderId="4" xfId="0" applyFont="1" applyFill="1" applyBorder="1" applyAlignment="1">
      <alignment horizontal="center" wrapText="1"/>
    </xf>
    <xf numFmtId="0" fontId="25" fillId="40" borderId="23" xfId="0" applyFont="1" applyFill="1" applyBorder="1" applyAlignment="1">
      <alignment horizontal="center" wrapText="1"/>
    </xf>
    <xf numFmtId="0" fontId="25" fillId="38" borderId="4" xfId="0" applyFont="1" applyFill="1" applyBorder="1" applyAlignment="1">
      <alignment horizontal="center" wrapText="1"/>
    </xf>
    <xf numFmtId="0" fontId="25" fillId="38" borderId="23" xfId="0" applyFont="1" applyFill="1" applyBorder="1" applyAlignment="1">
      <alignment horizontal="center" wrapText="1"/>
    </xf>
    <xf numFmtId="0" fontId="1" fillId="2" borderId="68" xfId="0" applyFont="1" applyFill="1" applyBorder="1" applyAlignment="1">
      <alignment horizontal="center"/>
    </xf>
    <xf numFmtId="0" fontId="1" fillId="2" borderId="63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1" fillId="2" borderId="48" xfId="0" applyFont="1" applyFill="1" applyBorder="1" applyAlignment="1">
      <alignment horizontal="center" wrapText="1"/>
    </xf>
    <xf numFmtId="0" fontId="1" fillId="2" borderId="27" xfId="0" applyFont="1" applyFill="1" applyBorder="1" applyAlignment="1">
      <alignment horizontal="center" wrapText="1"/>
    </xf>
    <xf numFmtId="0" fontId="1" fillId="2" borderId="28" xfId="0" applyFont="1" applyFill="1" applyBorder="1" applyAlignment="1">
      <alignment horizontal="center" wrapText="1"/>
    </xf>
    <xf numFmtId="0" fontId="1" fillId="3" borderId="29" xfId="0" applyFont="1" applyFill="1" applyBorder="1" applyAlignment="1">
      <alignment horizontal="center" wrapText="1"/>
    </xf>
    <xf numFmtId="0" fontId="1" fillId="3" borderId="27" xfId="0" applyFont="1" applyFill="1" applyBorder="1" applyAlignment="1">
      <alignment horizontal="center" wrapText="1"/>
    </xf>
    <xf numFmtId="0" fontId="1" fillId="2" borderId="29" xfId="0" applyFont="1" applyFill="1" applyBorder="1" applyAlignment="1">
      <alignment horizontal="center" wrapText="1"/>
    </xf>
    <xf numFmtId="0" fontId="1" fillId="2" borderId="70" xfId="0" applyFont="1" applyFill="1" applyBorder="1" applyAlignment="1">
      <alignment horizontal="center" wrapText="1"/>
    </xf>
    <xf numFmtId="0" fontId="46" fillId="38" borderId="4" xfId="0" applyFont="1" applyFill="1" applyBorder="1" applyAlignment="1">
      <alignment horizontal="center" wrapText="1"/>
    </xf>
    <xf numFmtId="0" fontId="46" fillId="38" borderId="23" xfId="0" applyFont="1" applyFill="1" applyBorder="1" applyAlignment="1">
      <alignment horizontal="center" wrapText="1"/>
    </xf>
    <xf numFmtId="0" fontId="25" fillId="32" borderId="42" xfId="0" applyFont="1" applyFill="1" applyBorder="1" applyAlignment="1">
      <alignment horizontal="right"/>
    </xf>
  </cellXfs>
  <cellStyles count="9">
    <cellStyle name="Bad" xfId="7" builtinId="27"/>
    <cellStyle name="Comma" xfId="2" builtinId="3"/>
    <cellStyle name="Good" xfId="6" builtinId="26"/>
    <cellStyle name="Neutral" xfId="8" builtinId="28"/>
    <cellStyle name="Normal" xfId="0" builtinId="0"/>
    <cellStyle name="Normal 2" xfId="3" xr:uid="{00000000-0005-0000-0000-000002000000}"/>
    <cellStyle name="Normal 3" xfId="5" xr:uid="{00000000-0005-0000-0000-000003000000}"/>
    <cellStyle name="Percent" xfId="1" builtinId="5"/>
    <cellStyle name="Percent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W150"/>
  <sheetViews>
    <sheetView showGridLines="0" tabSelected="1" topLeftCell="A56" zoomScaleNormal="100" workbookViewId="0">
      <selection activeCell="AS139" sqref="AS139"/>
    </sheetView>
  </sheetViews>
  <sheetFormatPr defaultColWidth="10.7109375" defaultRowHeight="10.199999999999999" x14ac:dyDescent="0.2"/>
  <cols>
    <col min="1" max="1" width="45.85546875" style="319" customWidth="1"/>
    <col min="2" max="9" width="7.42578125" style="319" hidden="1" customWidth="1"/>
    <col min="10" max="10" width="7.42578125" style="402" hidden="1" customWidth="1"/>
    <col min="11" max="11" width="7.42578125" style="403" hidden="1" customWidth="1"/>
    <col min="12" max="15" width="7.42578125" style="402" hidden="1" customWidth="1"/>
    <col min="16" max="16" width="7.42578125" style="95" hidden="1" customWidth="1"/>
    <col min="17" max="17" width="7.42578125" style="404" hidden="1" customWidth="1"/>
    <col min="18" max="18" width="7.28515625" style="404" hidden="1" customWidth="1"/>
    <col min="19" max="19" width="8.28515625" style="405" hidden="1" customWidth="1"/>
    <col min="20" max="20" width="8.28515625" style="404" hidden="1" customWidth="1"/>
    <col min="21" max="21" width="8.140625" style="404" hidden="1" customWidth="1"/>
    <col min="22" max="22" width="8.140625" style="404" customWidth="1"/>
    <col min="23" max="24" width="8.140625" style="404" hidden="1" customWidth="1"/>
    <col min="25" max="25" width="10" style="404" hidden="1" customWidth="1"/>
    <col min="26" max="26" width="8.140625" style="404" hidden="1" customWidth="1"/>
    <col min="27" max="32" width="8.140625" style="404" customWidth="1"/>
    <col min="33" max="33" width="8.85546875" style="404" customWidth="1"/>
    <col min="34" max="35" width="8.85546875" style="319" customWidth="1"/>
    <col min="36" max="36" width="9.7109375" style="319" customWidth="1"/>
    <col min="37" max="43" width="10.7109375" style="319"/>
    <col min="44" max="44" width="10.85546875" style="319" customWidth="1"/>
    <col min="45" max="16384" width="10.7109375" style="334"/>
  </cols>
  <sheetData>
    <row r="1" spans="1:36" ht="13.8" x14ac:dyDescent="0.25">
      <c r="A1" s="787" t="s">
        <v>152</v>
      </c>
      <c r="B1" s="787"/>
      <c r="C1" s="787"/>
      <c r="D1" s="787"/>
      <c r="E1" s="787"/>
      <c r="F1" s="787"/>
      <c r="G1" s="787"/>
      <c r="H1" s="787"/>
      <c r="I1" s="787"/>
      <c r="J1" s="787"/>
      <c r="K1" s="787"/>
      <c r="L1" s="787"/>
      <c r="M1" s="787"/>
      <c r="N1" s="787"/>
      <c r="O1" s="787"/>
      <c r="P1" s="787"/>
      <c r="Q1" s="787"/>
      <c r="R1" s="787"/>
      <c r="S1" s="787"/>
      <c r="T1" s="787"/>
      <c r="U1" s="787"/>
      <c r="V1" s="787"/>
      <c r="W1" s="787"/>
      <c r="X1" s="787"/>
      <c r="Y1" s="787"/>
      <c r="Z1" s="787"/>
      <c r="AA1" s="787"/>
      <c r="AB1" s="787"/>
      <c r="AC1" s="787"/>
      <c r="AD1" s="787"/>
      <c r="AE1" s="787"/>
      <c r="AF1" s="787"/>
      <c r="AG1" s="787"/>
      <c r="AH1" s="787"/>
      <c r="AI1" s="787"/>
      <c r="AJ1" s="787"/>
    </row>
    <row r="2" spans="1:36" x14ac:dyDescent="0.2">
      <c r="A2" s="335"/>
      <c r="B2" s="336"/>
      <c r="C2" s="336"/>
      <c r="D2" s="336"/>
      <c r="E2" s="336"/>
      <c r="F2" s="336"/>
      <c r="G2" s="336"/>
      <c r="H2" s="336"/>
      <c r="I2" s="336"/>
      <c r="J2" s="337"/>
      <c r="K2" s="337"/>
      <c r="L2" s="338"/>
      <c r="M2" s="338"/>
      <c r="N2" s="338"/>
      <c r="O2" s="337"/>
      <c r="P2" s="339"/>
      <c r="Q2" s="337"/>
      <c r="R2" s="337"/>
      <c r="S2" s="340"/>
      <c r="T2" s="337"/>
      <c r="U2" s="337"/>
      <c r="V2" s="337"/>
      <c r="W2" s="337"/>
      <c r="X2" s="337"/>
      <c r="Y2" s="337"/>
      <c r="Z2" s="337"/>
      <c r="AA2" s="337"/>
      <c r="AB2" s="337"/>
      <c r="AC2" s="337"/>
      <c r="AD2" s="337"/>
      <c r="AE2" s="337"/>
      <c r="AF2" s="337"/>
      <c r="AG2" s="337"/>
      <c r="AH2" s="336"/>
      <c r="AI2" s="336"/>
      <c r="AJ2" s="336"/>
    </row>
    <row r="3" spans="1:36" ht="12" customHeight="1" x14ac:dyDescent="0.25">
      <c r="A3" s="790" t="s">
        <v>113</v>
      </c>
      <c r="B3" s="341"/>
      <c r="C3" s="342"/>
      <c r="D3" s="342"/>
      <c r="E3" s="341"/>
      <c r="F3" s="341"/>
      <c r="G3" s="342"/>
      <c r="H3" s="343"/>
      <c r="I3" s="343"/>
      <c r="J3" s="342"/>
      <c r="K3" s="344"/>
      <c r="L3" s="344"/>
      <c r="M3" s="344"/>
      <c r="N3" s="343"/>
      <c r="O3" s="345"/>
      <c r="P3" s="346"/>
      <c r="Q3" s="347"/>
      <c r="R3" s="347"/>
      <c r="S3" s="348"/>
      <c r="T3" s="347"/>
      <c r="U3" s="520" t="s">
        <v>112</v>
      </c>
      <c r="V3" s="700" t="s">
        <v>112</v>
      </c>
      <c r="W3" s="499" t="s">
        <v>112</v>
      </c>
      <c r="X3" s="604" t="s">
        <v>112</v>
      </c>
      <c r="Y3" s="604" t="s">
        <v>112</v>
      </c>
      <c r="Z3" s="431" t="s">
        <v>112</v>
      </c>
      <c r="AA3" s="431" t="s">
        <v>112</v>
      </c>
      <c r="AB3" s="431" t="s">
        <v>112</v>
      </c>
      <c r="AC3" s="431" t="s">
        <v>112</v>
      </c>
      <c r="AD3" s="431" t="s">
        <v>112</v>
      </c>
      <c r="AE3" s="431" t="s">
        <v>112</v>
      </c>
      <c r="AF3" s="736" t="s">
        <v>112</v>
      </c>
      <c r="AG3" s="792" t="s">
        <v>160</v>
      </c>
      <c r="AH3" s="794" t="s">
        <v>161</v>
      </c>
      <c r="AI3" s="788" t="s">
        <v>162</v>
      </c>
      <c r="AJ3" s="808" t="s">
        <v>180</v>
      </c>
    </row>
    <row r="4" spans="1:36" ht="12" x14ac:dyDescent="0.25">
      <c r="A4" s="791"/>
      <c r="B4" s="58" t="s">
        <v>82</v>
      </c>
      <c r="C4" s="59" t="s">
        <v>32</v>
      </c>
      <c r="D4" s="58" t="s">
        <v>38</v>
      </c>
      <c r="E4" s="59" t="s">
        <v>39</v>
      </c>
      <c r="F4" s="59" t="s">
        <v>40</v>
      </c>
      <c r="G4" s="58" t="s">
        <v>41</v>
      </c>
      <c r="H4" s="60" t="s">
        <v>42</v>
      </c>
      <c r="I4" s="61" t="s">
        <v>34</v>
      </c>
      <c r="J4" s="62" t="s">
        <v>35</v>
      </c>
      <c r="K4" s="62" t="s">
        <v>36</v>
      </c>
      <c r="L4" s="62" t="s">
        <v>37</v>
      </c>
      <c r="M4" s="62" t="s">
        <v>33</v>
      </c>
      <c r="N4" s="61" t="s">
        <v>43</v>
      </c>
      <c r="O4" s="237" t="s">
        <v>44</v>
      </c>
      <c r="P4" s="237" t="s">
        <v>47</v>
      </c>
      <c r="Q4" s="279" t="s">
        <v>50</v>
      </c>
      <c r="R4" s="279" t="s">
        <v>53</v>
      </c>
      <c r="S4" s="317" t="s">
        <v>54</v>
      </c>
      <c r="T4" s="325" t="s">
        <v>57</v>
      </c>
      <c r="U4" s="521" t="s">
        <v>58</v>
      </c>
      <c r="V4" s="701" t="s">
        <v>59</v>
      </c>
      <c r="W4" s="307" t="s">
        <v>60</v>
      </c>
      <c r="X4" s="63" t="s">
        <v>62</v>
      </c>
      <c r="Y4" s="63" t="s">
        <v>64</v>
      </c>
      <c r="Z4" s="6" t="s">
        <v>95</v>
      </c>
      <c r="AA4" s="6" t="s">
        <v>98</v>
      </c>
      <c r="AB4" s="6" t="s">
        <v>99</v>
      </c>
      <c r="AC4" s="6" t="s">
        <v>102</v>
      </c>
      <c r="AD4" s="6" t="s">
        <v>106</v>
      </c>
      <c r="AE4" s="6" t="s">
        <v>108</v>
      </c>
      <c r="AF4" s="737" t="s">
        <v>147</v>
      </c>
      <c r="AG4" s="793"/>
      <c r="AH4" s="795"/>
      <c r="AI4" s="789"/>
      <c r="AJ4" s="809"/>
    </row>
    <row r="5" spans="1:36" ht="12" x14ac:dyDescent="0.25">
      <c r="A5" s="493" t="s">
        <v>66</v>
      </c>
      <c r="B5" s="494"/>
      <c r="C5" s="494"/>
      <c r="D5" s="494"/>
      <c r="E5" s="494"/>
      <c r="F5" s="494"/>
      <c r="G5" s="494"/>
      <c r="H5" s="494"/>
      <c r="I5" s="494"/>
      <c r="J5" s="494"/>
      <c r="K5" s="494"/>
      <c r="L5" s="494"/>
      <c r="M5" s="494"/>
      <c r="N5" s="494"/>
      <c r="O5" s="494"/>
      <c r="P5" s="494"/>
      <c r="Q5" s="494"/>
      <c r="R5" s="494"/>
      <c r="S5" s="494"/>
      <c r="T5" s="494"/>
      <c r="U5" s="494"/>
      <c r="V5" s="494"/>
      <c r="W5" s="494"/>
      <c r="X5" s="494"/>
      <c r="Y5" s="494"/>
      <c r="Z5" s="494"/>
      <c r="AA5" s="494"/>
      <c r="AB5" s="494"/>
      <c r="AC5" s="494"/>
      <c r="AD5" s="494"/>
      <c r="AE5" s="494"/>
      <c r="AF5" s="494"/>
      <c r="AG5" s="494"/>
      <c r="AH5" s="494"/>
      <c r="AI5" s="494"/>
      <c r="AJ5" s="495"/>
    </row>
    <row r="6" spans="1:36" ht="12" x14ac:dyDescent="0.25">
      <c r="A6" s="496" t="s">
        <v>67</v>
      </c>
      <c r="B6" s="497"/>
      <c r="C6" s="497"/>
      <c r="D6" s="497"/>
      <c r="E6" s="497"/>
      <c r="F6" s="497"/>
      <c r="G6" s="497"/>
      <c r="H6" s="497"/>
      <c r="I6" s="497"/>
      <c r="J6" s="497"/>
      <c r="K6" s="497"/>
      <c r="L6" s="497"/>
      <c r="M6" s="497"/>
      <c r="N6" s="497"/>
      <c r="O6" s="497"/>
      <c r="P6" s="497"/>
      <c r="Q6" s="497"/>
      <c r="R6" s="497"/>
      <c r="S6" s="497"/>
      <c r="T6" s="497"/>
      <c r="U6" s="497"/>
      <c r="V6" s="497"/>
      <c r="W6" s="497"/>
      <c r="X6" s="497"/>
      <c r="Y6" s="497"/>
      <c r="Z6" s="497"/>
      <c r="AA6" s="497"/>
      <c r="AB6" s="497"/>
      <c r="AC6" s="497"/>
      <c r="AD6" s="497"/>
      <c r="AE6" s="497"/>
      <c r="AF6" s="497"/>
      <c r="AG6" s="497"/>
      <c r="AH6" s="497"/>
      <c r="AI6" s="497"/>
      <c r="AJ6" s="498"/>
    </row>
    <row r="7" spans="1:36" ht="12" x14ac:dyDescent="0.25">
      <c r="A7" s="490" t="s">
        <v>68</v>
      </c>
      <c r="B7" s="491"/>
      <c r="C7" s="491"/>
      <c r="D7" s="491"/>
      <c r="E7" s="491"/>
      <c r="F7" s="491"/>
      <c r="G7" s="491"/>
      <c r="H7" s="491"/>
      <c r="I7" s="491"/>
      <c r="J7" s="491"/>
      <c r="K7" s="491"/>
      <c r="L7" s="491"/>
      <c r="M7" s="491"/>
      <c r="N7" s="491"/>
      <c r="O7" s="491"/>
      <c r="P7" s="491"/>
      <c r="Q7" s="491"/>
      <c r="R7" s="491"/>
      <c r="S7" s="491"/>
      <c r="T7" s="491"/>
      <c r="U7" s="491"/>
      <c r="V7" s="491"/>
      <c r="W7" s="491"/>
      <c r="X7" s="491"/>
      <c r="Y7" s="491"/>
      <c r="Z7" s="491"/>
      <c r="AA7" s="491"/>
      <c r="AB7" s="491"/>
      <c r="AC7" s="491"/>
      <c r="AD7" s="491"/>
      <c r="AE7" s="491"/>
      <c r="AF7" s="491"/>
      <c r="AG7" s="491"/>
      <c r="AH7" s="491"/>
      <c r="AI7" s="491"/>
      <c r="AJ7" s="492"/>
    </row>
    <row r="8" spans="1:36" ht="13.8" x14ac:dyDescent="0.25">
      <c r="A8" s="349" t="s">
        <v>168</v>
      </c>
      <c r="B8" s="96"/>
      <c r="C8" s="96"/>
      <c r="D8" s="96"/>
      <c r="E8" s="96"/>
      <c r="F8" s="96"/>
      <c r="G8" s="96"/>
      <c r="H8" s="89"/>
      <c r="I8" s="89">
        <v>8</v>
      </c>
      <c r="J8" s="96">
        <v>9</v>
      </c>
      <c r="K8" s="96">
        <v>3</v>
      </c>
      <c r="L8" s="96">
        <v>7</v>
      </c>
      <c r="M8" s="96">
        <v>9</v>
      </c>
      <c r="N8" s="89">
        <v>11</v>
      </c>
      <c r="O8" s="238">
        <v>6</v>
      </c>
      <c r="P8" s="238">
        <v>10</v>
      </c>
      <c r="Q8" s="286">
        <v>10</v>
      </c>
      <c r="R8" s="286">
        <v>9</v>
      </c>
      <c r="S8" s="310">
        <v>6</v>
      </c>
      <c r="T8" s="286">
        <v>7</v>
      </c>
      <c r="U8" s="501">
        <v>6</v>
      </c>
      <c r="V8" s="678">
        <v>11</v>
      </c>
      <c r="W8" s="253">
        <v>10</v>
      </c>
      <c r="X8" s="89">
        <v>7</v>
      </c>
      <c r="Y8" s="545"/>
      <c r="Z8" s="545"/>
      <c r="AA8" s="545"/>
      <c r="AB8" s="545"/>
      <c r="AC8" s="545"/>
      <c r="AD8" s="545"/>
      <c r="AE8" s="545"/>
      <c r="AF8" s="728"/>
      <c r="AG8" s="753" t="str">
        <f>IF(AF8=0," ",IF(AJ8&gt;20,(AF8-AE8)/AE8," "))</f>
        <v xml:space="preserve"> </v>
      </c>
      <c r="AH8" s="305" t="str">
        <f>IF(AF8=0," ",IF(AJ8&gt;20,(AF8-AA8)/AA8," "))</f>
        <v xml:space="preserve"> </v>
      </c>
      <c r="AI8" s="306" t="str">
        <f>IF(AF8=0," ",(IF(AJ8&gt;20,(AF8-V8)/V8," ")))</f>
        <v xml:space="preserve"> </v>
      </c>
      <c r="AJ8" s="223" t="str">
        <f>IF(AD8&gt;0,AVERAGE(AD8:AF8),"  ")</f>
        <v xml:space="preserve">  </v>
      </c>
    </row>
    <row r="9" spans="1:36" ht="12" x14ac:dyDescent="0.25">
      <c r="A9" s="350" t="s">
        <v>10</v>
      </c>
      <c r="B9" s="71"/>
      <c r="C9" s="71"/>
      <c r="D9" s="71"/>
      <c r="E9" s="71"/>
      <c r="F9" s="71"/>
      <c r="G9" s="71"/>
      <c r="H9" s="5"/>
      <c r="I9" s="5"/>
      <c r="J9" s="71">
        <v>19</v>
      </c>
      <c r="K9" s="71">
        <v>18</v>
      </c>
      <c r="L9" s="71">
        <v>33</v>
      </c>
      <c r="M9" s="71">
        <v>43</v>
      </c>
      <c r="N9" s="5">
        <v>45</v>
      </c>
      <c r="O9" s="239">
        <v>68</v>
      </c>
      <c r="P9" s="239">
        <v>49</v>
      </c>
      <c r="Q9" s="280">
        <v>81</v>
      </c>
      <c r="R9" s="280">
        <v>90</v>
      </c>
      <c r="S9" s="311">
        <v>102</v>
      </c>
      <c r="T9" s="280">
        <v>110</v>
      </c>
      <c r="U9" s="502">
        <f>143+1</f>
        <v>144</v>
      </c>
      <c r="V9" s="679">
        <v>139</v>
      </c>
      <c r="W9" s="249">
        <v>128</v>
      </c>
      <c r="X9" s="5">
        <v>171</v>
      </c>
      <c r="Y9" s="5">
        <v>147</v>
      </c>
      <c r="Z9" s="72">
        <v>126</v>
      </c>
      <c r="AA9" s="72">
        <v>134</v>
      </c>
      <c r="AB9" s="72">
        <v>111</v>
      </c>
      <c r="AC9" s="72">
        <v>145</v>
      </c>
      <c r="AD9" s="72">
        <v>114</v>
      </c>
      <c r="AE9" s="72">
        <v>93</v>
      </c>
      <c r="AF9" s="80">
        <v>83</v>
      </c>
      <c r="AG9" s="754">
        <f t="shared" ref="AG9:AG17" si="0">IF(AF9=0," ",IF(AJ9&gt;20,(AF9-AE9)/AE9," "))</f>
        <v>-0.10752688172043011</v>
      </c>
      <c r="AH9" s="206">
        <f t="shared" ref="AH9:AH17" si="1">IF(AF9=0," ",IF(AJ9&gt;20,(AF9-AA9)/AA9," "))</f>
        <v>-0.38059701492537312</v>
      </c>
      <c r="AI9" s="207">
        <f t="shared" ref="AI9:AI17" si="2">IF(AF9=0," ",(IF(AJ9&gt;20,(AF9-V9)/V9," ")))</f>
        <v>-0.40287769784172661</v>
      </c>
      <c r="AJ9" s="120">
        <f t="shared" ref="AJ9:AJ17" si="3">IF(AD9&gt;0,AVERAGE(AD9:AF9),"  ")</f>
        <v>96.666666666666671</v>
      </c>
    </row>
    <row r="10" spans="1:36" ht="12" x14ac:dyDescent="0.25">
      <c r="A10" s="350" t="s">
        <v>119</v>
      </c>
      <c r="B10" s="71"/>
      <c r="C10" s="71"/>
      <c r="D10" s="71"/>
      <c r="E10" s="71"/>
      <c r="F10" s="71"/>
      <c r="G10" s="71"/>
      <c r="H10" s="5"/>
      <c r="I10" s="5"/>
      <c r="J10" s="71"/>
      <c r="K10" s="71"/>
      <c r="L10" s="71"/>
      <c r="M10" s="71"/>
      <c r="N10" s="5"/>
      <c r="O10" s="239"/>
      <c r="P10" s="239"/>
      <c r="Q10" s="280"/>
      <c r="R10" s="280"/>
      <c r="S10" s="311"/>
      <c r="T10" s="280"/>
      <c r="U10" s="484"/>
      <c r="V10" s="680"/>
      <c r="W10" s="549"/>
      <c r="X10" s="549"/>
      <c r="Y10" s="549"/>
      <c r="Z10" s="549"/>
      <c r="AA10" s="549"/>
      <c r="AB10" s="549"/>
      <c r="AC10" s="549"/>
      <c r="AD10" s="548"/>
      <c r="AE10" s="5">
        <v>15</v>
      </c>
      <c r="AF10" s="80">
        <v>35</v>
      </c>
      <c r="AG10" s="755">
        <f t="shared" si="0"/>
        <v>1.3333333333333333</v>
      </c>
      <c r="AH10" s="206"/>
      <c r="AI10" s="207"/>
      <c r="AJ10" s="120" t="str">
        <f t="shared" si="3"/>
        <v xml:space="preserve">  </v>
      </c>
    </row>
    <row r="11" spans="1:36" ht="12" x14ac:dyDescent="0.25">
      <c r="A11" s="677" t="s">
        <v>63</v>
      </c>
      <c r="B11" s="98">
        <v>11</v>
      </c>
      <c r="C11" s="98">
        <v>15</v>
      </c>
      <c r="D11" s="98">
        <v>6</v>
      </c>
      <c r="E11" s="98">
        <v>9</v>
      </c>
      <c r="F11" s="98">
        <v>11</v>
      </c>
      <c r="G11" s="98">
        <v>9</v>
      </c>
      <c r="H11" s="99">
        <v>5</v>
      </c>
      <c r="I11" s="99">
        <v>10</v>
      </c>
      <c r="J11" s="98">
        <v>7</v>
      </c>
      <c r="K11" s="98">
        <v>7</v>
      </c>
      <c r="L11" s="98">
        <v>8</v>
      </c>
      <c r="M11" s="98">
        <v>6</v>
      </c>
      <c r="N11" s="99">
        <v>9</v>
      </c>
      <c r="O11" s="245">
        <v>9</v>
      </c>
      <c r="P11" s="245">
        <v>12</v>
      </c>
      <c r="Q11" s="287">
        <v>10</v>
      </c>
      <c r="R11" s="287">
        <v>10</v>
      </c>
      <c r="S11" s="315">
        <v>12</v>
      </c>
      <c r="T11" s="287">
        <v>15</v>
      </c>
      <c r="U11" s="508">
        <v>9</v>
      </c>
      <c r="V11" s="681">
        <v>12</v>
      </c>
      <c r="W11" s="254">
        <v>15</v>
      </c>
      <c r="X11" s="99">
        <v>11</v>
      </c>
      <c r="Y11" s="99">
        <v>15</v>
      </c>
      <c r="Z11" s="84">
        <v>13</v>
      </c>
      <c r="AA11" s="84">
        <v>16</v>
      </c>
      <c r="AB11" s="84">
        <v>14</v>
      </c>
      <c r="AC11" s="84">
        <v>11</v>
      </c>
      <c r="AD11" s="84">
        <v>13</v>
      </c>
      <c r="AE11" s="84">
        <v>9</v>
      </c>
      <c r="AF11" s="729">
        <v>10</v>
      </c>
      <c r="AG11" s="756" t="str">
        <f t="shared" si="0"/>
        <v xml:space="preserve"> </v>
      </c>
      <c r="AH11" s="203" t="str">
        <f t="shared" si="1"/>
        <v xml:space="preserve"> </v>
      </c>
      <c r="AI11" s="204" t="str">
        <f t="shared" si="2"/>
        <v xml:space="preserve"> </v>
      </c>
      <c r="AJ11" s="221">
        <f t="shared" si="3"/>
        <v>10.666666666666666</v>
      </c>
    </row>
    <row r="12" spans="1:36" ht="13.8" x14ac:dyDescent="0.25">
      <c r="A12" s="350" t="s">
        <v>167</v>
      </c>
      <c r="B12" s="71"/>
      <c r="C12" s="71"/>
      <c r="D12" s="71"/>
      <c r="E12" s="71"/>
      <c r="F12" s="71"/>
      <c r="G12" s="71"/>
      <c r="H12" s="5"/>
      <c r="I12" s="5"/>
      <c r="J12" s="71"/>
      <c r="K12" s="71"/>
      <c r="L12" s="71"/>
      <c r="M12" s="71">
        <v>0</v>
      </c>
      <c r="N12" s="5"/>
      <c r="O12" s="239"/>
      <c r="P12" s="239"/>
      <c r="Q12" s="280"/>
      <c r="R12" s="280">
        <v>0</v>
      </c>
      <c r="S12" s="311">
        <v>0</v>
      </c>
      <c r="T12" s="280">
        <v>0</v>
      </c>
      <c r="U12" s="484"/>
      <c r="V12" s="679">
        <v>1</v>
      </c>
      <c r="W12" s="249">
        <v>15</v>
      </c>
      <c r="X12" s="5">
        <v>22</v>
      </c>
      <c r="Y12" s="5">
        <v>34</v>
      </c>
      <c r="Z12" s="72">
        <v>23</v>
      </c>
      <c r="AA12" s="72">
        <v>56</v>
      </c>
      <c r="AB12" s="72">
        <v>42</v>
      </c>
      <c r="AC12" s="72">
        <v>38</v>
      </c>
      <c r="AD12" s="72">
        <v>21</v>
      </c>
      <c r="AE12" s="72">
        <v>29</v>
      </c>
      <c r="AF12" s="80">
        <v>6</v>
      </c>
      <c r="AG12" s="755" t="str">
        <f t="shared" si="0"/>
        <v xml:space="preserve"> </v>
      </c>
      <c r="AH12" s="206" t="str">
        <f t="shared" si="1"/>
        <v xml:space="preserve"> </v>
      </c>
      <c r="AI12" s="207" t="str">
        <f t="shared" si="2"/>
        <v xml:space="preserve"> </v>
      </c>
      <c r="AJ12" s="120">
        <f t="shared" si="3"/>
        <v>18.666666666666668</v>
      </c>
    </row>
    <row r="13" spans="1:36" ht="12" x14ac:dyDescent="0.25">
      <c r="A13" s="351" t="s">
        <v>25</v>
      </c>
      <c r="B13" s="74">
        <v>14</v>
      </c>
      <c r="C13" s="74">
        <v>21</v>
      </c>
      <c r="D13" s="74">
        <v>19</v>
      </c>
      <c r="E13" s="74">
        <v>18</v>
      </c>
      <c r="F13" s="74">
        <v>17</v>
      </c>
      <c r="G13" s="74">
        <v>14</v>
      </c>
      <c r="H13" s="7">
        <v>7</v>
      </c>
      <c r="I13" s="7">
        <v>11</v>
      </c>
      <c r="J13" s="74">
        <v>7</v>
      </c>
      <c r="K13" s="74">
        <v>11</v>
      </c>
      <c r="L13" s="74">
        <v>10</v>
      </c>
      <c r="M13" s="74">
        <v>15</v>
      </c>
      <c r="N13" s="7">
        <v>24</v>
      </c>
      <c r="O13" s="240">
        <v>23</v>
      </c>
      <c r="P13" s="240">
        <v>27</v>
      </c>
      <c r="Q13" s="281">
        <v>23</v>
      </c>
      <c r="R13" s="281">
        <f>35+1</f>
        <v>36</v>
      </c>
      <c r="S13" s="312">
        <v>23</v>
      </c>
      <c r="T13" s="281">
        <v>31</v>
      </c>
      <c r="U13" s="503">
        <v>37</v>
      </c>
      <c r="V13" s="682">
        <v>37</v>
      </c>
      <c r="W13" s="250">
        <v>36</v>
      </c>
      <c r="X13" s="7">
        <v>29</v>
      </c>
      <c r="Y13" s="7">
        <v>27</v>
      </c>
      <c r="Z13" s="75">
        <v>20</v>
      </c>
      <c r="AA13" s="75">
        <v>22</v>
      </c>
      <c r="AB13" s="75">
        <v>23</v>
      </c>
      <c r="AC13" s="75">
        <v>30</v>
      </c>
      <c r="AD13" s="75">
        <v>30</v>
      </c>
      <c r="AE13" s="75">
        <v>20</v>
      </c>
      <c r="AF13" s="730">
        <v>16</v>
      </c>
      <c r="AG13" s="757">
        <f t="shared" si="0"/>
        <v>-0.2</v>
      </c>
      <c r="AH13" s="209">
        <f t="shared" si="1"/>
        <v>-0.27272727272727271</v>
      </c>
      <c r="AI13" s="210">
        <f t="shared" si="2"/>
        <v>-0.56756756756756754</v>
      </c>
      <c r="AJ13" s="222">
        <f t="shared" si="3"/>
        <v>22</v>
      </c>
    </row>
    <row r="14" spans="1:36" ht="12" x14ac:dyDescent="0.25">
      <c r="A14" s="352" t="s">
        <v>69</v>
      </c>
      <c r="B14" s="65">
        <f t="shared" ref="B14:AE14" si="4">SUM(B8:B13)</f>
        <v>25</v>
      </c>
      <c r="C14" s="65">
        <f t="shared" si="4"/>
        <v>36</v>
      </c>
      <c r="D14" s="65">
        <f t="shared" si="4"/>
        <v>25</v>
      </c>
      <c r="E14" s="65">
        <f t="shared" si="4"/>
        <v>27</v>
      </c>
      <c r="F14" s="65">
        <f t="shared" si="4"/>
        <v>28</v>
      </c>
      <c r="G14" s="65">
        <f t="shared" si="4"/>
        <v>23</v>
      </c>
      <c r="H14" s="65">
        <f t="shared" si="4"/>
        <v>12</v>
      </c>
      <c r="I14" s="65">
        <f t="shared" si="4"/>
        <v>29</v>
      </c>
      <c r="J14" s="65">
        <f t="shared" si="4"/>
        <v>42</v>
      </c>
      <c r="K14" s="65">
        <f t="shared" si="4"/>
        <v>39</v>
      </c>
      <c r="L14" s="65">
        <f t="shared" si="4"/>
        <v>58</v>
      </c>
      <c r="M14" s="65">
        <f t="shared" si="4"/>
        <v>73</v>
      </c>
      <c r="N14" s="65">
        <f t="shared" si="4"/>
        <v>89</v>
      </c>
      <c r="O14" s="241">
        <f t="shared" si="4"/>
        <v>106</v>
      </c>
      <c r="P14" s="241">
        <f t="shared" si="4"/>
        <v>98</v>
      </c>
      <c r="Q14" s="282">
        <f t="shared" si="4"/>
        <v>124</v>
      </c>
      <c r="R14" s="282">
        <f>SUM(R8:R13)</f>
        <v>145</v>
      </c>
      <c r="S14" s="282">
        <f t="shared" si="4"/>
        <v>143</v>
      </c>
      <c r="T14" s="282">
        <f t="shared" si="4"/>
        <v>163</v>
      </c>
      <c r="U14" s="504">
        <f t="shared" si="4"/>
        <v>196</v>
      </c>
      <c r="V14" s="683">
        <f t="shared" si="4"/>
        <v>200</v>
      </c>
      <c r="W14" s="162">
        <f t="shared" si="4"/>
        <v>204</v>
      </c>
      <c r="X14" s="65">
        <f t="shared" si="4"/>
        <v>240</v>
      </c>
      <c r="Y14" s="65">
        <f t="shared" si="4"/>
        <v>223</v>
      </c>
      <c r="Z14" s="65">
        <f t="shared" si="4"/>
        <v>182</v>
      </c>
      <c r="AA14" s="65">
        <f t="shared" si="4"/>
        <v>228</v>
      </c>
      <c r="AB14" s="65">
        <f t="shared" ref="AB14:AD14" si="5">SUM(AB8:AB13)</f>
        <v>190</v>
      </c>
      <c r="AC14" s="65">
        <f t="shared" si="5"/>
        <v>224</v>
      </c>
      <c r="AD14" s="65">
        <f t="shared" si="5"/>
        <v>178</v>
      </c>
      <c r="AE14" s="65">
        <f t="shared" si="4"/>
        <v>166</v>
      </c>
      <c r="AF14" s="731">
        <f>SUM(AF8:AF13)</f>
        <v>150</v>
      </c>
      <c r="AG14" s="758">
        <f t="shared" si="0"/>
        <v>-9.6385542168674704E-2</v>
      </c>
      <c r="AH14" s="216">
        <f t="shared" si="1"/>
        <v>-0.34210526315789475</v>
      </c>
      <c r="AI14" s="217">
        <f t="shared" si="2"/>
        <v>-0.25</v>
      </c>
      <c r="AJ14" s="119">
        <f t="shared" si="3"/>
        <v>164.66666666666666</v>
      </c>
    </row>
    <row r="15" spans="1:36" ht="12" x14ac:dyDescent="0.25">
      <c r="A15" s="353" t="s">
        <v>120</v>
      </c>
      <c r="B15" s="113">
        <v>61</v>
      </c>
      <c r="C15" s="113">
        <v>76</v>
      </c>
      <c r="D15" s="113">
        <v>55</v>
      </c>
      <c r="E15" s="113">
        <v>49</v>
      </c>
      <c r="F15" s="113">
        <v>48</v>
      </c>
      <c r="G15" s="113">
        <v>37</v>
      </c>
      <c r="H15" s="114">
        <v>55</v>
      </c>
      <c r="I15" s="114">
        <v>54</v>
      </c>
      <c r="J15" s="113">
        <v>56</v>
      </c>
      <c r="K15" s="113">
        <v>80</v>
      </c>
      <c r="L15" s="113">
        <v>78</v>
      </c>
      <c r="M15" s="113">
        <v>84</v>
      </c>
      <c r="N15" s="114">
        <v>68</v>
      </c>
      <c r="O15" s="242">
        <v>76</v>
      </c>
      <c r="P15" s="242">
        <v>83</v>
      </c>
      <c r="Q15" s="283">
        <v>70</v>
      </c>
      <c r="R15" s="283">
        <v>84</v>
      </c>
      <c r="S15" s="313">
        <v>87</v>
      </c>
      <c r="T15" s="283">
        <v>93</v>
      </c>
      <c r="U15" s="505">
        <v>86</v>
      </c>
      <c r="V15" s="684">
        <v>94</v>
      </c>
      <c r="W15" s="251">
        <v>90</v>
      </c>
      <c r="X15" s="114">
        <v>97</v>
      </c>
      <c r="Y15" s="114">
        <v>87</v>
      </c>
      <c r="Z15" s="113">
        <v>89</v>
      </c>
      <c r="AA15" s="113">
        <v>89</v>
      </c>
      <c r="AB15" s="113">
        <v>83</v>
      </c>
      <c r="AC15" s="113">
        <v>99</v>
      </c>
      <c r="AD15" s="113">
        <v>93</v>
      </c>
      <c r="AE15" s="113">
        <v>85</v>
      </c>
      <c r="AF15" s="732">
        <v>80</v>
      </c>
      <c r="AG15" s="759">
        <f t="shared" si="0"/>
        <v>-5.8823529411764705E-2</v>
      </c>
      <c r="AH15" s="218">
        <f t="shared" si="1"/>
        <v>-0.10112359550561797</v>
      </c>
      <c r="AI15" s="219">
        <f t="shared" si="2"/>
        <v>-0.14893617021276595</v>
      </c>
      <c r="AJ15" s="121">
        <f t="shared" si="3"/>
        <v>86</v>
      </c>
    </row>
    <row r="16" spans="1:36" ht="12" x14ac:dyDescent="0.25">
      <c r="A16" s="354" t="s">
        <v>121</v>
      </c>
      <c r="B16" s="115">
        <v>59</v>
      </c>
      <c r="C16" s="115">
        <v>62</v>
      </c>
      <c r="D16" s="115">
        <v>72</v>
      </c>
      <c r="E16" s="115">
        <v>74</v>
      </c>
      <c r="F16" s="115">
        <v>67</v>
      </c>
      <c r="G16" s="115">
        <v>54</v>
      </c>
      <c r="H16" s="116">
        <v>74</v>
      </c>
      <c r="I16" s="116">
        <v>46</v>
      </c>
      <c r="J16" s="115">
        <v>59</v>
      </c>
      <c r="K16" s="115">
        <v>55</v>
      </c>
      <c r="L16" s="115">
        <v>61</v>
      </c>
      <c r="M16" s="115">
        <v>59</v>
      </c>
      <c r="N16" s="116">
        <v>56</v>
      </c>
      <c r="O16" s="243">
        <v>63</v>
      </c>
      <c r="P16" s="243">
        <v>61</v>
      </c>
      <c r="Q16" s="284">
        <v>61</v>
      </c>
      <c r="R16" s="284">
        <v>74</v>
      </c>
      <c r="S16" s="314">
        <f>91+2</f>
        <v>93</v>
      </c>
      <c r="T16" s="284">
        <v>74</v>
      </c>
      <c r="U16" s="506">
        <v>91</v>
      </c>
      <c r="V16" s="685">
        <v>82</v>
      </c>
      <c r="W16" s="252">
        <v>133</v>
      </c>
      <c r="X16" s="116">
        <v>133</v>
      </c>
      <c r="Y16" s="116">
        <v>113</v>
      </c>
      <c r="Z16" s="115">
        <v>130</v>
      </c>
      <c r="AA16" s="115">
        <v>137</v>
      </c>
      <c r="AB16" s="115">
        <v>127</v>
      </c>
      <c r="AC16" s="115">
        <v>103</v>
      </c>
      <c r="AD16" s="115">
        <v>101</v>
      </c>
      <c r="AE16" s="115">
        <v>99</v>
      </c>
      <c r="AF16" s="733">
        <v>94</v>
      </c>
      <c r="AG16" s="758">
        <f t="shared" si="0"/>
        <v>-5.0505050505050504E-2</v>
      </c>
      <c r="AH16" s="216">
        <f t="shared" si="1"/>
        <v>-0.31386861313868614</v>
      </c>
      <c r="AI16" s="217">
        <f t="shared" si="2"/>
        <v>0.14634146341463414</v>
      </c>
      <c r="AJ16" s="119">
        <f t="shared" si="3"/>
        <v>98</v>
      </c>
    </row>
    <row r="17" spans="1:41" ht="12.6" thickBot="1" x14ac:dyDescent="0.3">
      <c r="A17" s="355" t="s">
        <v>71</v>
      </c>
      <c r="B17" s="122">
        <f t="shared" ref="B17:AE17" si="6">+B16+B15+B14</f>
        <v>145</v>
      </c>
      <c r="C17" s="122">
        <f t="shared" si="6"/>
        <v>174</v>
      </c>
      <c r="D17" s="122">
        <f t="shared" si="6"/>
        <v>152</v>
      </c>
      <c r="E17" s="122">
        <f t="shared" si="6"/>
        <v>150</v>
      </c>
      <c r="F17" s="122">
        <f t="shared" si="6"/>
        <v>143</v>
      </c>
      <c r="G17" s="122">
        <f t="shared" si="6"/>
        <v>114</v>
      </c>
      <c r="H17" s="122">
        <f t="shared" si="6"/>
        <v>141</v>
      </c>
      <c r="I17" s="122">
        <f t="shared" si="6"/>
        <v>129</v>
      </c>
      <c r="J17" s="122">
        <f t="shared" si="6"/>
        <v>157</v>
      </c>
      <c r="K17" s="122">
        <f t="shared" si="6"/>
        <v>174</v>
      </c>
      <c r="L17" s="122">
        <f t="shared" si="6"/>
        <v>197</v>
      </c>
      <c r="M17" s="122">
        <f t="shared" si="6"/>
        <v>216</v>
      </c>
      <c r="N17" s="122">
        <f t="shared" si="6"/>
        <v>213</v>
      </c>
      <c r="O17" s="244">
        <f t="shared" si="6"/>
        <v>245</v>
      </c>
      <c r="P17" s="244">
        <f t="shared" si="6"/>
        <v>242</v>
      </c>
      <c r="Q17" s="285">
        <f t="shared" si="6"/>
        <v>255</v>
      </c>
      <c r="R17" s="285">
        <f t="shared" si="6"/>
        <v>303</v>
      </c>
      <c r="S17" s="285">
        <f t="shared" si="6"/>
        <v>323</v>
      </c>
      <c r="T17" s="285">
        <f t="shared" si="6"/>
        <v>330</v>
      </c>
      <c r="U17" s="507">
        <f t="shared" si="6"/>
        <v>373</v>
      </c>
      <c r="V17" s="686">
        <f t="shared" si="6"/>
        <v>376</v>
      </c>
      <c r="W17" s="163">
        <f t="shared" si="6"/>
        <v>427</v>
      </c>
      <c r="X17" s="122">
        <f t="shared" si="6"/>
        <v>470</v>
      </c>
      <c r="Y17" s="122">
        <f t="shared" si="6"/>
        <v>423</v>
      </c>
      <c r="Z17" s="122">
        <f t="shared" si="6"/>
        <v>401</v>
      </c>
      <c r="AA17" s="122">
        <f t="shared" si="6"/>
        <v>454</v>
      </c>
      <c r="AB17" s="122">
        <f t="shared" si="6"/>
        <v>400</v>
      </c>
      <c r="AC17" s="122">
        <f t="shared" si="6"/>
        <v>426</v>
      </c>
      <c r="AD17" s="122">
        <f t="shared" si="6"/>
        <v>372</v>
      </c>
      <c r="AE17" s="122">
        <f t="shared" si="6"/>
        <v>350</v>
      </c>
      <c r="AF17" s="244">
        <f>+AF16+AF15+AF14</f>
        <v>324</v>
      </c>
      <c r="AG17" s="760">
        <f t="shared" si="0"/>
        <v>-7.4285714285714288E-2</v>
      </c>
      <c r="AH17" s="220">
        <f t="shared" si="1"/>
        <v>-0.28634361233480177</v>
      </c>
      <c r="AI17" s="220">
        <f t="shared" si="2"/>
        <v>-0.13829787234042554</v>
      </c>
      <c r="AJ17" s="176">
        <f t="shared" si="3"/>
        <v>348.66666666666669</v>
      </c>
    </row>
    <row r="18" spans="1:41" ht="13.8" thickTop="1" x14ac:dyDescent="0.25">
      <c r="A18" s="356" t="s">
        <v>72</v>
      </c>
      <c r="B18" s="66"/>
      <c r="C18" s="66"/>
      <c r="D18" s="66"/>
      <c r="E18" s="66"/>
      <c r="F18" s="67"/>
      <c r="G18" s="67"/>
      <c r="H18" s="67"/>
      <c r="I18" s="67"/>
      <c r="J18" s="66"/>
      <c r="K18" s="66"/>
      <c r="L18" s="66"/>
      <c r="M18" s="66"/>
      <c r="N18" s="68"/>
      <c r="O18" s="68"/>
      <c r="P18" s="68"/>
      <c r="Q18" s="68"/>
      <c r="R18" s="68"/>
      <c r="S18" s="69"/>
      <c r="T18" s="69"/>
      <c r="U18" s="69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175"/>
      <c r="AH18" s="175"/>
      <c r="AI18" s="175"/>
      <c r="AJ18" s="194"/>
    </row>
    <row r="19" spans="1:41" ht="12" x14ac:dyDescent="0.25">
      <c r="A19" s="471" t="s">
        <v>1</v>
      </c>
      <c r="B19" s="96">
        <v>27</v>
      </c>
      <c r="C19" s="96">
        <v>18</v>
      </c>
      <c r="D19" s="96">
        <v>28</v>
      </c>
      <c r="E19" s="96">
        <v>21</v>
      </c>
      <c r="F19" s="96">
        <v>17</v>
      </c>
      <c r="G19" s="96">
        <v>23</v>
      </c>
      <c r="H19" s="89">
        <v>27</v>
      </c>
      <c r="I19" s="89">
        <v>31</v>
      </c>
      <c r="J19" s="96">
        <v>37</v>
      </c>
      <c r="K19" s="96">
        <v>41</v>
      </c>
      <c r="L19" s="96">
        <v>27</v>
      </c>
      <c r="M19" s="96">
        <v>32</v>
      </c>
      <c r="N19" s="89">
        <v>18</v>
      </c>
      <c r="O19" s="238">
        <v>21</v>
      </c>
      <c r="P19" s="238">
        <v>16</v>
      </c>
      <c r="Q19" s="286">
        <v>10</v>
      </c>
      <c r="R19" s="286">
        <v>17</v>
      </c>
      <c r="S19" s="310">
        <v>17</v>
      </c>
      <c r="T19" s="286">
        <v>12</v>
      </c>
      <c r="U19" s="501">
        <v>7</v>
      </c>
      <c r="V19" s="678">
        <v>11</v>
      </c>
      <c r="W19" s="253">
        <v>6</v>
      </c>
      <c r="X19" s="89">
        <v>9</v>
      </c>
      <c r="Y19" s="89">
        <v>13</v>
      </c>
      <c r="Z19" s="88">
        <v>7</v>
      </c>
      <c r="AA19" s="88">
        <v>2</v>
      </c>
      <c r="AB19" s="88">
        <v>6</v>
      </c>
      <c r="AC19" s="88">
        <v>5</v>
      </c>
      <c r="AD19" s="88">
        <v>4</v>
      </c>
      <c r="AE19" s="88">
        <v>2</v>
      </c>
      <c r="AF19" s="734">
        <v>3</v>
      </c>
      <c r="AG19" s="761" t="str">
        <f t="shared" ref="AG19:AG39" si="7">IF(AF19=0," ",IF(AJ19&gt;20,(AF19-AE19)/AE19," "))</f>
        <v xml:space="preserve"> </v>
      </c>
      <c r="AH19" s="305" t="str">
        <f t="shared" ref="AH19:AH39" si="8">IF(AF19=0," ",IF(AJ19&gt;20,(AF19-AA19)/AA19," "))</f>
        <v xml:space="preserve"> </v>
      </c>
      <c r="AI19" s="306" t="str">
        <f t="shared" ref="AI19:AI39" si="9">IF(AF19=0," ",(IF(AJ19&gt;20,(AF19-V19)/V19," ")))</f>
        <v xml:space="preserve"> </v>
      </c>
      <c r="AJ19" s="223">
        <f t="shared" ref="AJ19:AJ39" si="10">IF(AD19&gt;0,AVERAGE(AD19:AF19),"  ")</f>
        <v>3</v>
      </c>
    </row>
    <row r="20" spans="1:41" ht="12" x14ac:dyDescent="0.25">
      <c r="A20" s="357" t="s">
        <v>31</v>
      </c>
      <c r="B20" s="71">
        <v>1</v>
      </c>
      <c r="C20" s="71">
        <v>3</v>
      </c>
      <c r="D20" s="71">
        <v>3</v>
      </c>
      <c r="E20" s="71">
        <v>0</v>
      </c>
      <c r="F20" s="71">
        <v>3</v>
      </c>
      <c r="G20" s="71">
        <v>2</v>
      </c>
      <c r="H20" s="5">
        <v>2</v>
      </c>
      <c r="I20" s="5">
        <v>2</v>
      </c>
      <c r="J20" s="71">
        <v>11</v>
      </c>
      <c r="K20" s="71">
        <v>15</v>
      </c>
      <c r="L20" s="71">
        <v>17</v>
      </c>
      <c r="M20" s="71">
        <v>25</v>
      </c>
      <c r="N20" s="5">
        <v>34</v>
      </c>
      <c r="O20" s="239">
        <v>40</v>
      </c>
      <c r="P20" s="239">
        <v>44</v>
      </c>
      <c r="Q20" s="280">
        <v>44</v>
      </c>
      <c r="R20" s="280">
        <v>56</v>
      </c>
      <c r="S20" s="311">
        <f>40+1</f>
        <v>41</v>
      </c>
      <c r="T20" s="280">
        <v>54</v>
      </c>
      <c r="U20" s="502">
        <v>39</v>
      </c>
      <c r="V20" s="679">
        <v>53</v>
      </c>
      <c r="W20" s="249">
        <v>43</v>
      </c>
      <c r="X20" s="5">
        <v>47</v>
      </c>
      <c r="Y20" s="5">
        <v>44</v>
      </c>
      <c r="Z20" s="72">
        <v>43</v>
      </c>
      <c r="AA20" s="72">
        <v>45</v>
      </c>
      <c r="AB20" s="72">
        <v>43</v>
      </c>
      <c r="AC20" s="72">
        <v>36</v>
      </c>
      <c r="AD20" s="72">
        <v>28</v>
      </c>
      <c r="AE20" s="72">
        <v>30</v>
      </c>
      <c r="AF20" s="80">
        <v>33</v>
      </c>
      <c r="AG20" s="755">
        <f t="shared" si="7"/>
        <v>0.1</v>
      </c>
      <c r="AH20" s="206">
        <f t="shared" si="8"/>
        <v>-0.26666666666666666</v>
      </c>
      <c r="AI20" s="207">
        <f t="shared" si="9"/>
        <v>-0.37735849056603776</v>
      </c>
      <c r="AJ20" s="120">
        <f t="shared" si="10"/>
        <v>30.333333333333332</v>
      </c>
    </row>
    <row r="21" spans="1:41" ht="12" x14ac:dyDescent="0.25">
      <c r="A21" s="357" t="s">
        <v>100</v>
      </c>
      <c r="B21" s="71">
        <v>77</v>
      </c>
      <c r="C21" s="71">
        <v>97</v>
      </c>
      <c r="D21" s="71">
        <v>92</v>
      </c>
      <c r="E21" s="71">
        <v>95</v>
      </c>
      <c r="F21" s="71">
        <v>115</v>
      </c>
      <c r="G21" s="71">
        <v>94</v>
      </c>
      <c r="H21" s="5">
        <v>122</v>
      </c>
      <c r="I21" s="5">
        <v>129</v>
      </c>
      <c r="J21" s="71">
        <v>143</v>
      </c>
      <c r="K21" s="71">
        <v>135</v>
      </c>
      <c r="L21" s="71">
        <v>131</v>
      </c>
      <c r="M21" s="71">
        <v>142</v>
      </c>
      <c r="N21" s="5">
        <v>133</v>
      </c>
      <c r="O21" s="239">
        <v>155</v>
      </c>
      <c r="P21" s="239">
        <v>159</v>
      </c>
      <c r="Q21" s="280">
        <v>176</v>
      </c>
      <c r="R21" s="280">
        <v>138</v>
      </c>
      <c r="S21" s="311">
        <f>178+1</f>
        <v>179</v>
      </c>
      <c r="T21" s="280">
        <v>194</v>
      </c>
      <c r="U21" s="502">
        <f>182+3</f>
        <v>185</v>
      </c>
      <c r="V21" s="679">
        <v>162</v>
      </c>
      <c r="W21" s="249">
        <f>172+1</f>
        <v>173</v>
      </c>
      <c r="X21" s="5">
        <v>159</v>
      </c>
      <c r="Y21" s="5">
        <v>145</v>
      </c>
      <c r="Z21" s="72">
        <v>138</v>
      </c>
      <c r="AA21" s="72">
        <v>174</v>
      </c>
      <c r="AB21" s="72">
        <v>157</v>
      </c>
      <c r="AC21" s="72">
        <v>156</v>
      </c>
      <c r="AD21" s="72">
        <v>125</v>
      </c>
      <c r="AE21" s="72">
        <v>111</v>
      </c>
      <c r="AF21" s="80">
        <f>118+4</f>
        <v>122</v>
      </c>
      <c r="AG21" s="755">
        <f t="shared" si="7"/>
        <v>9.90990990990991E-2</v>
      </c>
      <c r="AH21" s="206">
        <f t="shared" si="8"/>
        <v>-0.2988505747126437</v>
      </c>
      <c r="AI21" s="207">
        <f t="shared" si="9"/>
        <v>-0.24691358024691357</v>
      </c>
      <c r="AJ21" s="120">
        <f t="shared" si="10"/>
        <v>119.33333333333333</v>
      </c>
    </row>
    <row r="22" spans="1:41" ht="12" x14ac:dyDescent="0.25">
      <c r="A22" s="357" t="s">
        <v>5</v>
      </c>
      <c r="B22" s="71"/>
      <c r="C22" s="71"/>
      <c r="D22" s="71"/>
      <c r="E22" s="71"/>
      <c r="F22" s="71"/>
      <c r="G22" s="71"/>
      <c r="H22" s="5"/>
      <c r="I22" s="5">
        <v>4</v>
      </c>
      <c r="J22" s="71">
        <v>3</v>
      </c>
      <c r="K22" s="71">
        <v>11</v>
      </c>
      <c r="L22" s="71">
        <v>15</v>
      </c>
      <c r="M22" s="71">
        <v>12</v>
      </c>
      <c r="N22" s="5">
        <v>14</v>
      </c>
      <c r="O22" s="239">
        <v>14</v>
      </c>
      <c r="P22" s="239">
        <v>19</v>
      </c>
      <c r="Q22" s="280">
        <v>18</v>
      </c>
      <c r="R22" s="280">
        <v>26</v>
      </c>
      <c r="S22" s="311">
        <f>33+1</f>
        <v>34</v>
      </c>
      <c r="T22" s="280">
        <v>44</v>
      </c>
      <c r="U22" s="502">
        <f>40+1+3</f>
        <v>44</v>
      </c>
      <c r="V22" s="679">
        <v>41</v>
      </c>
      <c r="W22" s="249">
        <v>32</v>
      </c>
      <c r="X22" s="5">
        <v>36</v>
      </c>
      <c r="Y22" s="5">
        <v>33</v>
      </c>
      <c r="Z22" s="72">
        <v>23</v>
      </c>
      <c r="AA22" s="72">
        <v>33</v>
      </c>
      <c r="AB22" s="72">
        <v>27</v>
      </c>
      <c r="AC22" s="72">
        <v>26</v>
      </c>
      <c r="AD22" s="72">
        <v>14</v>
      </c>
      <c r="AE22" s="72">
        <v>20</v>
      </c>
      <c r="AF22" s="80">
        <v>15</v>
      </c>
      <c r="AG22" s="755" t="str">
        <f t="shared" si="7"/>
        <v xml:space="preserve"> </v>
      </c>
      <c r="AH22" s="206" t="str">
        <f t="shared" si="8"/>
        <v xml:space="preserve"> </v>
      </c>
      <c r="AI22" s="207" t="str">
        <f t="shared" si="9"/>
        <v xml:space="preserve"> </v>
      </c>
      <c r="AJ22" s="120">
        <f t="shared" si="10"/>
        <v>16.333333333333332</v>
      </c>
    </row>
    <row r="23" spans="1:41" ht="12" x14ac:dyDescent="0.25">
      <c r="A23" s="359" t="s">
        <v>9</v>
      </c>
      <c r="B23" s="74">
        <v>35</v>
      </c>
      <c r="C23" s="74">
        <v>42</v>
      </c>
      <c r="D23" s="74">
        <v>31</v>
      </c>
      <c r="E23" s="74">
        <v>33</v>
      </c>
      <c r="F23" s="74">
        <v>31</v>
      </c>
      <c r="G23" s="74">
        <v>33</v>
      </c>
      <c r="H23" s="7">
        <v>42</v>
      </c>
      <c r="I23" s="7">
        <v>31</v>
      </c>
      <c r="J23" s="74">
        <v>38</v>
      </c>
      <c r="K23" s="74">
        <v>46</v>
      </c>
      <c r="L23" s="74">
        <v>45</v>
      </c>
      <c r="M23" s="74">
        <v>38</v>
      </c>
      <c r="N23" s="7">
        <v>45</v>
      </c>
      <c r="O23" s="240">
        <v>53</v>
      </c>
      <c r="P23" s="240">
        <v>46</v>
      </c>
      <c r="Q23" s="281">
        <v>64</v>
      </c>
      <c r="R23" s="281">
        <v>48</v>
      </c>
      <c r="S23" s="312">
        <f>60+2</f>
        <v>62</v>
      </c>
      <c r="T23" s="281">
        <v>54</v>
      </c>
      <c r="U23" s="503">
        <f>43+3</f>
        <v>46</v>
      </c>
      <c r="V23" s="682">
        <v>52</v>
      </c>
      <c r="W23" s="250">
        <f>50+4</f>
        <v>54</v>
      </c>
      <c r="X23" s="7">
        <v>50</v>
      </c>
      <c r="Y23" s="7">
        <v>44</v>
      </c>
      <c r="Z23" s="75">
        <v>37</v>
      </c>
      <c r="AA23" s="75">
        <v>56</v>
      </c>
      <c r="AB23" s="75">
        <v>44</v>
      </c>
      <c r="AC23" s="75">
        <v>31</v>
      </c>
      <c r="AD23" s="75">
        <v>43</v>
      </c>
      <c r="AE23" s="75">
        <v>27</v>
      </c>
      <c r="AF23" s="730">
        <f>15+3</f>
        <v>18</v>
      </c>
      <c r="AG23" s="757">
        <f t="shared" si="7"/>
        <v>-0.33333333333333331</v>
      </c>
      <c r="AH23" s="209">
        <f t="shared" si="8"/>
        <v>-0.6785714285714286</v>
      </c>
      <c r="AI23" s="210">
        <f t="shared" si="9"/>
        <v>-0.65384615384615385</v>
      </c>
      <c r="AJ23" s="222">
        <f t="shared" si="10"/>
        <v>29.333333333333332</v>
      </c>
    </row>
    <row r="24" spans="1:41" ht="12" x14ac:dyDescent="0.25">
      <c r="A24" s="358" t="s">
        <v>45</v>
      </c>
      <c r="B24" s="98"/>
      <c r="C24" s="98"/>
      <c r="D24" s="98"/>
      <c r="E24" s="98"/>
      <c r="F24" s="98"/>
      <c r="G24" s="98"/>
      <c r="H24" s="99"/>
      <c r="I24" s="99"/>
      <c r="J24" s="98"/>
      <c r="K24" s="98"/>
      <c r="L24" s="98"/>
      <c r="M24" s="98"/>
      <c r="N24" s="99"/>
      <c r="O24" s="245">
        <v>1</v>
      </c>
      <c r="P24" s="245">
        <v>2</v>
      </c>
      <c r="Q24" s="287">
        <v>2</v>
      </c>
      <c r="R24" s="287">
        <v>0</v>
      </c>
      <c r="S24" s="315">
        <v>1</v>
      </c>
      <c r="T24" s="287">
        <v>2</v>
      </c>
      <c r="U24" s="508">
        <v>2</v>
      </c>
      <c r="V24" s="681">
        <v>2</v>
      </c>
      <c r="W24" s="254">
        <v>4</v>
      </c>
      <c r="X24" s="99">
        <v>3</v>
      </c>
      <c r="Y24" s="99">
        <v>0</v>
      </c>
      <c r="Z24" s="84">
        <v>1</v>
      </c>
      <c r="AA24" s="84">
        <v>2</v>
      </c>
      <c r="AB24" s="84">
        <v>3</v>
      </c>
      <c r="AC24" s="84">
        <v>1</v>
      </c>
      <c r="AD24" s="84">
        <v>1</v>
      </c>
      <c r="AE24" s="84">
        <v>2</v>
      </c>
      <c r="AF24" s="729">
        <v>4</v>
      </c>
      <c r="AG24" s="756" t="str">
        <f t="shared" si="7"/>
        <v xml:space="preserve"> </v>
      </c>
      <c r="AH24" s="203" t="str">
        <f t="shared" si="8"/>
        <v xml:space="preserve"> </v>
      </c>
      <c r="AI24" s="204" t="str">
        <f t="shared" si="9"/>
        <v xml:space="preserve"> </v>
      </c>
      <c r="AJ24" s="221">
        <f t="shared" si="10"/>
        <v>2.3333333333333335</v>
      </c>
    </row>
    <row r="25" spans="1:41" ht="12" x14ac:dyDescent="0.25">
      <c r="A25" s="357" t="s">
        <v>49</v>
      </c>
      <c r="B25" s="71"/>
      <c r="C25" s="71"/>
      <c r="D25" s="71"/>
      <c r="E25" s="71"/>
      <c r="F25" s="71"/>
      <c r="G25" s="71"/>
      <c r="H25" s="5"/>
      <c r="I25" s="5"/>
      <c r="J25" s="71"/>
      <c r="K25" s="71"/>
      <c r="L25" s="71"/>
      <c r="M25" s="71">
        <v>1</v>
      </c>
      <c r="N25" s="5">
        <v>4</v>
      </c>
      <c r="O25" s="239">
        <v>3</v>
      </c>
      <c r="P25" s="239">
        <v>6</v>
      </c>
      <c r="Q25" s="280">
        <v>17</v>
      </c>
      <c r="R25" s="280">
        <f>17+1</f>
        <v>18</v>
      </c>
      <c r="S25" s="311">
        <v>23</v>
      </c>
      <c r="T25" s="280">
        <v>21</v>
      </c>
      <c r="U25" s="502">
        <f>47+1</f>
        <v>48</v>
      </c>
      <c r="V25" s="679">
        <v>42</v>
      </c>
      <c r="W25" s="249">
        <f>42+2</f>
        <v>44</v>
      </c>
      <c r="X25" s="5">
        <v>40</v>
      </c>
      <c r="Y25" s="5">
        <v>53</v>
      </c>
      <c r="Z25" s="72">
        <v>47</v>
      </c>
      <c r="AA25" s="72">
        <v>49</v>
      </c>
      <c r="AB25" s="72">
        <v>51</v>
      </c>
      <c r="AC25" s="72">
        <v>38</v>
      </c>
      <c r="AD25" s="72">
        <v>33</v>
      </c>
      <c r="AE25" s="72">
        <v>24</v>
      </c>
      <c r="AF25" s="80">
        <f>19+1</f>
        <v>20</v>
      </c>
      <c r="AG25" s="755">
        <f t="shared" si="7"/>
        <v>-0.16666666666666666</v>
      </c>
      <c r="AH25" s="206">
        <f t="shared" si="8"/>
        <v>-0.59183673469387754</v>
      </c>
      <c r="AI25" s="207">
        <f t="shared" si="9"/>
        <v>-0.52380952380952384</v>
      </c>
      <c r="AJ25" s="120">
        <f t="shared" si="10"/>
        <v>25.666666666666668</v>
      </c>
    </row>
    <row r="26" spans="1:41" ht="12" x14ac:dyDescent="0.25">
      <c r="A26" s="357" t="s">
        <v>12</v>
      </c>
      <c r="B26" s="71">
        <v>3</v>
      </c>
      <c r="C26" s="71">
        <v>2</v>
      </c>
      <c r="D26" s="71">
        <v>1</v>
      </c>
      <c r="E26" s="71">
        <v>2</v>
      </c>
      <c r="F26" s="71">
        <v>1</v>
      </c>
      <c r="G26" s="71">
        <v>3</v>
      </c>
      <c r="H26" s="5">
        <v>1</v>
      </c>
      <c r="I26" s="5">
        <v>3</v>
      </c>
      <c r="J26" s="71">
        <v>5</v>
      </c>
      <c r="K26" s="71">
        <v>1</v>
      </c>
      <c r="L26" s="71">
        <v>5</v>
      </c>
      <c r="M26" s="71">
        <v>2</v>
      </c>
      <c r="N26" s="5">
        <v>1</v>
      </c>
      <c r="O26" s="239">
        <v>3</v>
      </c>
      <c r="P26" s="239">
        <v>2</v>
      </c>
      <c r="Q26" s="280">
        <v>0</v>
      </c>
      <c r="R26" s="280">
        <v>2</v>
      </c>
      <c r="S26" s="311">
        <v>2</v>
      </c>
      <c r="T26" s="280">
        <v>2</v>
      </c>
      <c r="U26" s="502">
        <v>1</v>
      </c>
      <c r="V26" s="679">
        <v>4</v>
      </c>
      <c r="W26" s="249">
        <f>3+3</f>
        <v>6</v>
      </c>
      <c r="X26" s="5">
        <v>1</v>
      </c>
      <c r="Y26" s="5">
        <v>4</v>
      </c>
      <c r="Z26" s="72">
        <v>5</v>
      </c>
      <c r="AA26" s="72">
        <v>3</v>
      </c>
      <c r="AB26" s="72">
        <v>5</v>
      </c>
      <c r="AC26" s="72">
        <v>3</v>
      </c>
      <c r="AD26" s="72">
        <v>3</v>
      </c>
      <c r="AE26" s="72">
        <v>3</v>
      </c>
      <c r="AF26" s="80">
        <v>1</v>
      </c>
      <c r="AG26" s="755" t="str">
        <f t="shared" si="7"/>
        <v xml:space="preserve"> </v>
      </c>
      <c r="AH26" s="206" t="str">
        <f t="shared" si="8"/>
        <v xml:space="preserve"> </v>
      </c>
      <c r="AI26" s="207" t="str">
        <f t="shared" si="9"/>
        <v xml:space="preserve"> </v>
      </c>
      <c r="AJ26" s="120">
        <f t="shared" si="10"/>
        <v>2.3333333333333335</v>
      </c>
    </row>
    <row r="27" spans="1:41" ht="12" x14ac:dyDescent="0.25">
      <c r="A27" s="357" t="s">
        <v>14</v>
      </c>
      <c r="B27" s="71">
        <v>43</v>
      </c>
      <c r="C27" s="71">
        <v>47</v>
      </c>
      <c r="D27" s="71">
        <v>50</v>
      </c>
      <c r="E27" s="71">
        <v>65</v>
      </c>
      <c r="F27" s="71">
        <v>47</v>
      </c>
      <c r="G27" s="71">
        <v>37</v>
      </c>
      <c r="H27" s="5">
        <v>33</v>
      </c>
      <c r="I27" s="5">
        <v>45</v>
      </c>
      <c r="J27" s="71">
        <v>52</v>
      </c>
      <c r="K27" s="71">
        <v>85</v>
      </c>
      <c r="L27" s="71">
        <v>72</v>
      </c>
      <c r="M27" s="71">
        <v>55</v>
      </c>
      <c r="N27" s="5">
        <v>67</v>
      </c>
      <c r="O27" s="239">
        <v>50</v>
      </c>
      <c r="P27" s="239">
        <v>60</v>
      </c>
      <c r="Q27" s="280">
        <v>70</v>
      </c>
      <c r="R27" s="280">
        <f>75+1</f>
        <v>76</v>
      </c>
      <c r="S27" s="311">
        <f>53+2</f>
        <v>55</v>
      </c>
      <c r="T27" s="280">
        <v>66</v>
      </c>
      <c r="U27" s="502">
        <f>50+3</f>
        <v>53</v>
      </c>
      <c r="V27" s="679">
        <v>47</v>
      </c>
      <c r="W27" s="249">
        <v>39</v>
      </c>
      <c r="X27" s="5">
        <v>42</v>
      </c>
      <c r="Y27" s="5">
        <v>46</v>
      </c>
      <c r="Z27" s="72">
        <v>37</v>
      </c>
      <c r="AA27" s="72">
        <v>31</v>
      </c>
      <c r="AB27" s="72">
        <v>35</v>
      </c>
      <c r="AC27" s="72">
        <v>35</v>
      </c>
      <c r="AD27" s="72">
        <v>35</v>
      </c>
      <c r="AE27" s="72">
        <v>23</v>
      </c>
      <c r="AF27" s="80">
        <v>30</v>
      </c>
      <c r="AG27" s="755">
        <f t="shared" si="7"/>
        <v>0.30434782608695654</v>
      </c>
      <c r="AH27" s="206">
        <f t="shared" si="8"/>
        <v>-3.2258064516129031E-2</v>
      </c>
      <c r="AI27" s="207">
        <f t="shared" si="9"/>
        <v>-0.36170212765957449</v>
      </c>
      <c r="AJ27" s="120">
        <f t="shared" si="10"/>
        <v>29.333333333333332</v>
      </c>
      <c r="AO27" s="360" t="s">
        <v>55</v>
      </c>
    </row>
    <row r="28" spans="1:41" ht="12" x14ac:dyDescent="0.25">
      <c r="A28" s="482" t="s">
        <v>123</v>
      </c>
      <c r="B28" s="74"/>
      <c r="C28" s="74"/>
      <c r="D28" s="74"/>
      <c r="E28" s="74"/>
      <c r="F28" s="74"/>
      <c r="G28" s="74"/>
      <c r="H28" s="7"/>
      <c r="I28" s="7">
        <v>26</v>
      </c>
      <c r="J28" s="74">
        <v>53</v>
      </c>
      <c r="K28" s="74">
        <v>63</v>
      </c>
      <c r="L28" s="74">
        <v>55</v>
      </c>
      <c r="M28" s="74">
        <v>58</v>
      </c>
      <c r="N28" s="7">
        <v>61</v>
      </c>
      <c r="O28" s="240">
        <v>71</v>
      </c>
      <c r="P28" s="240">
        <v>67</v>
      </c>
      <c r="Q28" s="281">
        <v>52</v>
      </c>
      <c r="R28" s="281">
        <v>66</v>
      </c>
      <c r="S28" s="312">
        <v>67</v>
      </c>
      <c r="T28" s="281">
        <v>53</v>
      </c>
      <c r="U28" s="503">
        <v>22</v>
      </c>
      <c r="V28" s="682">
        <v>26</v>
      </c>
      <c r="W28" s="250">
        <v>56</v>
      </c>
      <c r="X28" s="7">
        <v>64</v>
      </c>
      <c r="Y28" s="7">
        <v>54</v>
      </c>
      <c r="Z28" s="75">
        <v>21</v>
      </c>
      <c r="AA28" s="75">
        <v>25</v>
      </c>
      <c r="AB28" s="75">
        <v>14</v>
      </c>
      <c r="AC28" s="75">
        <v>15</v>
      </c>
      <c r="AD28" s="75">
        <v>28</v>
      </c>
      <c r="AE28" s="75">
        <v>20</v>
      </c>
      <c r="AF28" s="730">
        <f>15+1</f>
        <v>16</v>
      </c>
      <c r="AG28" s="757">
        <f t="shared" si="7"/>
        <v>-0.2</v>
      </c>
      <c r="AH28" s="209">
        <f t="shared" si="8"/>
        <v>-0.36</v>
      </c>
      <c r="AI28" s="210">
        <f t="shared" si="9"/>
        <v>-0.38461538461538464</v>
      </c>
      <c r="AJ28" s="222">
        <f t="shared" si="10"/>
        <v>21.333333333333332</v>
      </c>
      <c r="AO28" s="360"/>
    </row>
    <row r="29" spans="1:41" ht="12" x14ac:dyDescent="0.25">
      <c r="A29" s="483" t="s">
        <v>124</v>
      </c>
      <c r="B29" s="98"/>
      <c r="C29" s="98"/>
      <c r="D29" s="98"/>
      <c r="E29" s="98"/>
      <c r="F29" s="98"/>
      <c r="G29" s="98"/>
      <c r="H29" s="99"/>
      <c r="I29" s="99"/>
      <c r="J29" s="98"/>
      <c r="K29" s="98"/>
      <c r="L29" s="98"/>
      <c r="M29" s="98"/>
      <c r="N29" s="99"/>
      <c r="O29" s="245"/>
      <c r="P29" s="245"/>
      <c r="Q29" s="287"/>
      <c r="R29" s="287"/>
      <c r="S29" s="315"/>
      <c r="T29" s="287"/>
      <c r="U29" s="508">
        <v>29</v>
      </c>
      <c r="V29" s="681">
        <v>32</v>
      </c>
      <c r="W29" s="254"/>
      <c r="X29" s="99"/>
      <c r="Y29" s="99"/>
      <c r="Z29" s="84">
        <v>34</v>
      </c>
      <c r="AA29" s="84">
        <v>41</v>
      </c>
      <c r="AB29" s="84">
        <v>36</v>
      </c>
      <c r="AC29" s="84">
        <v>28</v>
      </c>
      <c r="AD29" s="84">
        <v>36</v>
      </c>
      <c r="AE29" s="84">
        <v>25</v>
      </c>
      <c r="AF29" s="729">
        <v>26</v>
      </c>
      <c r="AG29" s="756">
        <f t="shared" si="7"/>
        <v>0.04</v>
      </c>
      <c r="AH29" s="203">
        <f t="shared" si="8"/>
        <v>-0.36585365853658536</v>
      </c>
      <c r="AI29" s="204"/>
      <c r="AJ29" s="221">
        <f t="shared" si="10"/>
        <v>29</v>
      </c>
      <c r="AO29" s="360"/>
    </row>
    <row r="30" spans="1:41" ht="12" x14ac:dyDescent="0.25">
      <c r="A30" s="357" t="s">
        <v>15</v>
      </c>
      <c r="B30" s="71"/>
      <c r="C30" s="71"/>
      <c r="D30" s="71"/>
      <c r="E30" s="71"/>
      <c r="F30" s="71"/>
      <c r="G30" s="71"/>
      <c r="H30" s="5"/>
      <c r="I30" s="5"/>
      <c r="J30" s="71"/>
      <c r="K30" s="71"/>
      <c r="L30" s="71">
        <v>1</v>
      </c>
      <c r="M30" s="71">
        <v>6</v>
      </c>
      <c r="N30" s="5">
        <v>9</v>
      </c>
      <c r="O30" s="239">
        <v>12</v>
      </c>
      <c r="P30" s="239">
        <v>11</v>
      </c>
      <c r="Q30" s="280">
        <v>11</v>
      </c>
      <c r="R30" s="280">
        <f>21+2</f>
        <v>23</v>
      </c>
      <c r="S30" s="311">
        <f>25+2</f>
        <v>27</v>
      </c>
      <c r="T30" s="280">
        <v>16</v>
      </c>
      <c r="U30" s="502">
        <f>17+1</f>
        <v>18</v>
      </c>
      <c r="V30" s="679">
        <v>15</v>
      </c>
      <c r="W30" s="249">
        <f>12+1</f>
        <v>13</v>
      </c>
      <c r="X30" s="5">
        <v>15</v>
      </c>
      <c r="Y30" s="5">
        <v>17</v>
      </c>
      <c r="Z30" s="72">
        <v>19</v>
      </c>
      <c r="AA30" s="72">
        <v>23</v>
      </c>
      <c r="AB30" s="72">
        <v>13</v>
      </c>
      <c r="AC30" s="72">
        <v>12</v>
      </c>
      <c r="AD30" s="72">
        <v>12</v>
      </c>
      <c r="AE30" s="72">
        <v>9</v>
      </c>
      <c r="AF30" s="80">
        <v>4</v>
      </c>
      <c r="AG30" s="755" t="str">
        <f t="shared" si="7"/>
        <v xml:space="preserve"> </v>
      </c>
      <c r="AH30" s="206" t="str">
        <f t="shared" si="8"/>
        <v xml:space="preserve"> </v>
      </c>
      <c r="AI30" s="207" t="str">
        <f t="shared" si="9"/>
        <v xml:space="preserve"> </v>
      </c>
      <c r="AJ30" s="120">
        <f t="shared" si="10"/>
        <v>8.3333333333333339</v>
      </c>
      <c r="AO30" s="360" t="s">
        <v>56</v>
      </c>
    </row>
    <row r="31" spans="1:41" ht="12" x14ac:dyDescent="0.25">
      <c r="A31" s="361" t="s">
        <v>19</v>
      </c>
      <c r="B31" s="71">
        <v>2</v>
      </c>
      <c r="C31" s="71">
        <v>7</v>
      </c>
      <c r="D31" s="71">
        <v>6</v>
      </c>
      <c r="E31" s="71">
        <v>5</v>
      </c>
      <c r="F31" s="71">
        <v>4</v>
      </c>
      <c r="G31" s="71">
        <v>1</v>
      </c>
      <c r="H31" s="5">
        <v>5</v>
      </c>
      <c r="I31" s="5">
        <v>8</v>
      </c>
      <c r="J31" s="71">
        <v>9</v>
      </c>
      <c r="K31" s="71">
        <v>2</v>
      </c>
      <c r="L31" s="71">
        <v>5</v>
      </c>
      <c r="M31" s="71">
        <v>6</v>
      </c>
      <c r="N31" s="5">
        <v>2</v>
      </c>
      <c r="O31" s="239">
        <v>6</v>
      </c>
      <c r="P31" s="239">
        <v>7</v>
      </c>
      <c r="Q31" s="280">
        <v>9</v>
      </c>
      <c r="R31" s="280">
        <v>7</v>
      </c>
      <c r="S31" s="311">
        <v>10</v>
      </c>
      <c r="T31" s="280">
        <v>5</v>
      </c>
      <c r="U31" s="502">
        <v>9</v>
      </c>
      <c r="V31" s="679">
        <v>18</v>
      </c>
      <c r="W31" s="249">
        <v>8</v>
      </c>
      <c r="X31" s="5">
        <v>10</v>
      </c>
      <c r="Y31" s="5">
        <v>12</v>
      </c>
      <c r="Z31" s="72">
        <v>13</v>
      </c>
      <c r="AA31" s="72">
        <v>7</v>
      </c>
      <c r="AB31" s="72">
        <v>18</v>
      </c>
      <c r="AC31" s="72">
        <v>5</v>
      </c>
      <c r="AD31" s="72">
        <v>4</v>
      </c>
      <c r="AE31" s="72">
        <v>10</v>
      </c>
      <c r="AF31" s="80">
        <v>7</v>
      </c>
      <c r="AG31" s="755" t="str">
        <f t="shared" si="7"/>
        <v xml:space="preserve"> </v>
      </c>
      <c r="AH31" s="206" t="str">
        <f t="shared" si="8"/>
        <v xml:space="preserve"> </v>
      </c>
      <c r="AI31" s="207" t="str">
        <f t="shared" si="9"/>
        <v xml:space="preserve"> </v>
      </c>
      <c r="AJ31" s="120">
        <f t="shared" si="10"/>
        <v>7</v>
      </c>
    </row>
    <row r="32" spans="1:41" ht="12" x14ac:dyDescent="0.25">
      <c r="A32" s="361" t="s">
        <v>20</v>
      </c>
      <c r="B32" s="71">
        <v>11</v>
      </c>
      <c r="C32" s="71">
        <v>7</v>
      </c>
      <c r="D32" s="71">
        <v>10</v>
      </c>
      <c r="E32" s="71">
        <v>11</v>
      </c>
      <c r="F32" s="71">
        <v>12</v>
      </c>
      <c r="G32" s="71">
        <v>6</v>
      </c>
      <c r="H32" s="5">
        <v>9</v>
      </c>
      <c r="I32" s="5">
        <v>22</v>
      </c>
      <c r="J32" s="71">
        <v>16</v>
      </c>
      <c r="K32" s="71">
        <v>17</v>
      </c>
      <c r="L32" s="71">
        <v>4</v>
      </c>
      <c r="M32" s="71">
        <v>18</v>
      </c>
      <c r="N32" s="5">
        <v>14</v>
      </c>
      <c r="O32" s="239">
        <v>19</v>
      </c>
      <c r="P32" s="239">
        <v>14</v>
      </c>
      <c r="Q32" s="280">
        <v>14</v>
      </c>
      <c r="R32" s="280">
        <v>12</v>
      </c>
      <c r="S32" s="311">
        <f>7+1</f>
        <v>8</v>
      </c>
      <c r="T32" s="280">
        <v>9</v>
      </c>
      <c r="U32" s="502">
        <v>11</v>
      </c>
      <c r="V32" s="679">
        <v>8</v>
      </c>
      <c r="W32" s="249">
        <f>1+1</f>
        <v>2</v>
      </c>
      <c r="X32" s="5">
        <v>5</v>
      </c>
      <c r="Y32" s="5">
        <v>4</v>
      </c>
      <c r="Z32" s="72">
        <v>7</v>
      </c>
      <c r="AA32" s="72">
        <v>3</v>
      </c>
      <c r="AB32" s="72">
        <v>5</v>
      </c>
      <c r="AC32" s="72">
        <v>3</v>
      </c>
      <c r="AD32" s="72">
        <v>10</v>
      </c>
      <c r="AE32" s="72">
        <v>12</v>
      </c>
      <c r="AF32" s="80">
        <f>3+1</f>
        <v>4</v>
      </c>
      <c r="AG32" s="755" t="str">
        <f t="shared" si="7"/>
        <v xml:space="preserve"> </v>
      </c>
      <c r="AH32" s="206" t="str">
        <f t="shared" si="8"/>
        <v xml:space="preserve"> </v>
      </c>
      <c r="AI32" s="207" t="str">
        <f t="shared" si="9"/>
        <v xml:space="preserve"> </v>
      </c>
      <c r="AJ32" s="120">
        <f t="shared" si="10"/>
        <v>8.6666666666666661</v>
      </c>
    </row>
    <row r="33" spans="1:170" ht="12" x14ac:dyDescent="0.25">
      <c r="A33" s="351" t="s">
        <v>23</v>
      </c>
      <c r="B33" s="74">
        <v>22</v>
      </c>
      <c r="C33" s="74">
        <v>27</v>
      </c>
      <c r="D33" s="74">
        <v>27</v>
      </c>
      <c r="E33" s="74">
        <v>25</v>
      </c>
      <c r="F33" s="74">
        <v>25</v>
      </c>
      <c r="G33" s="74">
        <v>28</v>
      </c>
      <c r="H33" s="7">
        <v>33</v>
      </c>
      <c r="I33" s="7">
        <v>25</v>
      </c>
      <c r="J33" s="74">
        <v>25</v>
      </c>
      <c r="K33" s="74">
        <v>25</v>
      </c>
      <c r="L33" s="74">
        <v>31</v>
      </c>
      <c r="M33" s="74">
        <v>30</v>
      </c>
      <c r="N33" s="7">
        <v>33</v>
      </c>
      <c r="O33" s="240">
        <v>26</v>
      </c>
      <c r="P33" s="240">
        <v>32</v>
      </c>
      <c r="Q33" s="281">
        <v>28</v>
      </c>
      <c r="R33" s="281">
        <v>34</v>
      </c>
      <c r="S33" s="312">
        <f>34+1</f>
        <v>35</v>
      </c>
      <c r="T33" s="281">
        <v>37</v>
      </c>
      <c r="U33" s="503">
        <f>33+1</f>
        <v>34</v>
      </c>
      <c r="V33" s="682">
        <v>33</v>
      </c>
      <c r="W33" s="250">
        <f>20+1</f>
        <v>21</v>
      </c>
      <c r="X33" s="7">
        <v>23</v>
      </c>
      <c r="Y33" s="7">
        <v>38</v>
      </c>
      <c r="Z33" s="75">
        <v>34</v>
      </c>
      <c r="AA33" s="75">
        <v>32</v>
      </c>
      <c r="AB33" s="75">
        <v>37</v>
      </c>
      <c r="AC33" s="75">
        <v>17</v>
      </c>
      <c r="AD33" s="75">
        <v>26</v>
      </c>
      <c r="AE33" s="75">
        <v>25</v>
      </c>
      <c r="AF33" s="730">
        <f>23+1</f>
        <v>24</v>
      </c>
      <c r="AG33" s="757">
        <f t="shared" si="7"/>
        <v>-0.04</v>
      </c>
      <c r="AH33" s="209">
        <f t="shared" si="8"/>
        <v>-0.25</v>
      </c>
      <c r="AI33" s="210">
        <f t="shared" si="9"/>
        <v>-0.27272727272727271</v>
      </c>
      <c r="AJ33" s="222">
        <f t="shared" si="10"/>
        <v>25</v>
      </c>
    </row>
    <row r="34" spans="1:170" ht="12" x14ac:dyDescent="0.25">
      <c r="A34" s="361" t="s">
        <v>24</v>
      </c>
      <c r="B34" s="71">
        <v>67</v>
      </c>
      <c r="C34" s="71">
        <v>74</v>
      </c>
      <c r="D34" s="71">
        <v>67</v>
      </c>
      <c r="E34" s="71">
        <v>81</v>
      </c>
      <c r="F34" s="71">
        <v>67</v>
      </c>
      <c r="G34" s="71">
        <v>71</v>
      </c>
      <c r="H34" s="5">
        <v>85</v>
      </c>
      <c r="I34" s="5">
        <v>79</v>
      </c>
      <c r="J34" s="71">
        <v>58</v>
      </c>
      <c r="K34" s="71">
        <v>84</v>
      </c>
      <c r="L34" s="71">
        <v>78</v>
      </c>
      <c r="M34" s="71">
        <v>71</v>
      </c>
      <c r="N34" s="5">
        <v>91</v>
      </c>
      <c r="O34" s="239">
        <v>106</v>
      </c>
      <c r="P34" s="239">
        <v>99</v>
      </c>
      <c r="Q34" s="280">
        <v>117</v>
      </c>
      <c r="R34" s="280">
        <v>120</v>
      </c>
      <c r="S34" s="311">
        <f>119+1</f>
        <v>120</v>
      </c>
      <c r="T34" s="280">
        <v>165</v>
      </c>
      <c r="U34" s="502">
        <f>121+4</f>
        <v>125</v>
      </c>
      <c r="V34" s="679">
        <v>144</v>
      </c>
      <c r="W34" s="249">
        <f>135+5</f>
        <v>140</v>
      </c>
      <c r="X34" s="5">
        <v>137</v>
      </c>
      <c r="Y34" s="5">
        <v>118</v>
      </c>
      <c r="Z34" s="72">
        <v>138</v>
      </c>
      <c r="AA34" s="72">
        <v>113</v>
      </c>
      <c r="AB34" s="72">
        <v>155</v>
      </c>
      <c r="AC34" s="72">
        <v>143</v>
      </c>
      <c r="AD34" s="72">
        <v>126</v>
      </c>
      <c r="AE34" s="72">
        <v>106</v>
      </c>
      <c r="AF34" s="80">
        <f>82+3</f>
        <v>85</v>
      </c>
      <c r="AG34" s="755">
        <f t="shared" si="7"/>
        <v>-0.19811320754716982</v>
      </c>
      <c r="AH34" s="206">
        <f t="shared" si="8"/>
        <v>-0.24778761061946902</v>
      </c>
      <c r="AI34" s="207">
        <f t="shared" si="9"/>
        <v>-0.40972222222222221</v>
      </c>
      <c r="AJ34" s="120">
        <f t="shared" si="10"/>
        <v>105.66666666666667</v>
      </c>
    </row>
    <row r="35" spans="1:170" ht="12" x14ac:dyDescent="0.25">
      <c r="A35" s="361" t="s">
        <v>26</v>
      </c>
      <c r="B35" s="71">
        <v>16</v>
      </c>
      <c r="C35" s="71">
        <v>16</v>
      </c>
      <c r="D35" s="71">
        <v>17</v>
      </c>
      <c r="E35" s="71">
        <v>16</v>
      </c>
      <c r="F35" s="71">
        <v>8</v>
      </c>
      <c r="G35" s="71">
        <v>16</v>
      </c>
      <c r="H35" s="5">
        <v>16</v>
      </c>
      <c r="I35" s="5">
        <v>12</v>
      </c>
      <c r="J35" s="71">
        <v>7</v>
      </c>
      <c r="K35" s="71">
        <v>5</v>
      </c>
      <c r="L35" s="71">
        <v>10</v>
      </c>
      <c r="M35" s="71">
        <v>7</v>
      </c>
      <c r="N35" s="5">
        <v>9</v>
      </c>
      <c r="O35" s="239">
        <v>11</v>
      </c>
      <c r="P35" s="239">
        <v>18</v>
      </c>
      <c r="Q35" s="280">
        <v>15</v>
      </c>
      <c r="R35" s="280">
        <v>21</v>
      </c>
      <c r="S35" s="311">
        <v>16</v>
      </c>
      <c r="T35" s="280">
        <v>12</v>
      </c>
      <c r="U35" s="502">
        <v>9</v>
      </c>
      <c r="V35" s="679">
        <v>20</v>
      </c>
      <c r="W35" s="249">
        <v>18</v>
      </c>
      <c r="X35" s="5">
        <v>13</v>
      </c>
      <c r="Y35" s="5">
        <v>17</v>
      </c>
      <c r="Z35" s="72">
        <v>14</v>
      </c>
      <c r="AA35" s="72">
        <v>11</v>
      </c>
      <c r="AB35" s="72">
        <v>23</v>
      </c>
      <c r="AC35" s="72">
        <v>11</v>
      </c>
      <c r="AD35" s="72">
        <v>15</v>
      </c>
      <c r="AE35" s="72">
        <v>8</v>
      </c>
      <c r="AF35" s="80">
        <v>7</v>
      </c>
      <c r="AG35" s="755" t="str">
        <f t="shared" si="7"/>
        <v xml:space="preserve"> </v>
      </c>
      <c r="AH35" s="206" t="str">
        <f t="shared" si="8"/>
        <v xml:space="preserve"> </v>
      </c>
      <c r="AI35" s="207" t="str">
        <f t="shared" si="9"/>
        <v xml:space="preserve"> </v>
      </c>
      <c r="AJ35" s="120">
        <f t="shared" si="10"/>
        <v>10</v>
      </c>
    </row>
    <row r="36" spans="1:170" ht="12" x14ac:dyDescent="0.25">
      <c r="A36" s="361" t="s">
        <v>27</v>
      </c>
      <c r="B36" s="71">
        <v>1</v>
      </c>
      <c r="C36" s="71">
        <v>0</v>
      </c>
      <c r="D36" s="71">
        <v>3</v>
      </c>
      <c r="E36" s="71">
        <v>5</v>
      </c>
      <c r="F36" s="71">
        <v>4</v>
      </c>
      <c r="G36" s="71">
        <v>6</v>
      </c>
      <c r="H36" s="5">
        <v>8</v>
      </c>
      <c r="I36" s="5">
        <v>12</v>
      </c>
      <c r="J36" s="71">
        <v>13</v>
      </c>
      <c r="K36" s="71">
        <v>8</v>
      </c>
      <c r="L36" s="71">
        <v>11</v>
      </c>
      <c r="M36" s="71">
        <v>16</v>
      </c>
      <c r="N36" s="5">
        <v>27</v>
      </c>
      <c r="O36" s="239">
        <v>17</v>
      </c>
      <c r="P36" s="239">
        <v>12</v>
      </c>
      <c r="Q36" s="280">
        <v>11</v>
      </c>
      <c r="R36" s="280">
        <v>6</v>
      </c>
      <c r="S36" s="311">
        <f>6+7</f>
        <v>13</v>
      </c>
      <c r="T36" s="280">
        <v>13</v>
      </c>
      <c r="U36" s="502">
        <f>9+2</f>
        <v>11</v>
      </c>
      <c r="V36" s="679">
        <v>11</v>
      </c>
      <c r="W36" s="249">
        <f>9+5</f>
        <v>14</v>
      </c>
      <c r="X36" s="5">
        <v>7</v>
      </c>
      <c r="Y36" s="5">
        <v>9</v>
      </c>
      <c r="Z36" s="72">
        <v>6</v>
      </c>
      <c r="AA36" s="72">
        <v>7</v>
      </c>
      <c r="AB36" s="72">
        <v>10</v>
      </c>
      <c r="AC36" s="72">
        <v>6</v>
      </c>
      <c r="AD36" s="72">
        <v>4</v>
      </c>
      <c r="AE36" s="72">
        <v>4</v>
      </c>
      <c r="AF36" s="80">
        <f>3+5</f>
        <v>8</v>
      </c>
      <c r="AG36" s="755" t="str">
        <f t="shared" si="7"/>
        <v xml:space="preserve"> </v>
      </c>
      <c r="AH36" s="206" t="str">
        <f t="shared" si="8"/>
        <v xml:space="preserve"> </v>
      </c>
      <c r="AI36" s="207" t="str">
        <f t="shared" si="9"/>
        <v xml:space="preserve"> </v>
      </c>
      <c r="AJ36" s="120">
        <f t="shared" si="10"/>
        <v>5.333333333333333</v>
      </c>
    </row>
    <row r="37" spans="1:170" ht="12" x14ac:dyDescent="0.25">
      <c r="A37" s="361" t="s">
        <v>28</v>
      </c>
      <c r="B37" s="71"/>
      <c r="C37" s="71"/>
      <c r="D37" s="71"/>
      <c r="E37" s="71"/>
      <c r="F37" s="71"/>
      <c r="G37" s="71"/>
      <c r="H37" s="5"/>
      <c r="I37" s="5">
        <v>2</v>
      </c>
      <c r="J37" s="71">
        <v>6</v>
      </c>
      <c r="K37" s="71">
        <v>1</v>
      </c>
      <c r="L37" s="71">
        <v>5</v>
      </c>
      <c r="M37" s="71">
        <v>7</v>
      </c>
      <c r="N37" s="5">
        <v>5</v>
      </c>
      <c r="O37" s="239">
        <v>8</v>
      </c>
      <c r="P37" s="239">
        <v>9</v>
      </c>
      <c r="Q37" s="280">
        <v>4</v>
      </c>
      <c r="R37" s="280">
        <v>8</v>
      </c>
      <c r="S37" s="311">
        <v>6</v>
      </c>
      <c r="T37" s="280">
        <v>10</v>
      </c>
      <c r="U37" s="502">
        <v>12</v>
      </c>
      <c r="V37" s="679">
        <v>8</v>
      </c>
      <c r="W37" s="249">
        <v>5</v>
      </c>
      <c r="X37" s="5">
        <v>12</v>
      </c>
      <c r="Y37" s="5">
        <v>6</v>
      </c>
      <c r="Z37" s="72">
        <v>14</v>
      </c>
      <c r="AA37" s="72">
        <v>7</v>
      </c>
      <c r="AB37" s="72">
        <v>10</v>
      </c>
      <c r="AC37" s="72">
        <v>4</v>
      </c>
      <c r="AD37" s="72">
        <v>7</v>
      </c>
      <c r="AE37" s="72">
        <v>2</v>
      </c>
      <c r="AF37" s="80">
        <f>5+1</f>
        <v>6</v>
      </c>
      <c r="AG37" s="755" t="str">
        <f t="shared" si="7"/>
        <v xml:space="preserve"> </v>
      </c>
      <c r="AH37" s="206" t="str">
        <f t="shared" si="8"/>
        <v xml:space="preserve"> </v>
      </c>
      <c r="AI37" s="207" t="str">
        <f t="shared" si="9"/>
        <v xml:space="preserve"> </v>
      </c>
      <c r="AJ37" s="120">
        <f t="shared" si="10"/>
        <v>5</v>
      </c>
    </row>
    <row r="38" spans="1:170" ht="13.8" hidden="1" x14ac:dyDescent="0.25">
      <c r="A38" s="361" t="s">
        <v>109</v>
      </c>
      <c r="B38" s="71">
        <v>7</v>
      </c>
      <c r="C38" s="71">
        <v>4</v>
      </c>
      <c r="D38" s="71"/>
      <c r="E38" s="71"/>
      <c r="F38" s="71"/>
      <c r="G38" s="71"/>
      <c r="H38" s="5"/>
      <c r="I38" s="5"/>
      <c r="J38" s="71"/>
      <c r="K38" s="71"/>
      <c r="L38" s="71"/>
      <c r="M38" s="71"/>
      <c r="N38" s="5"/>
      <c r="O38" s="239"/>
      <c r="P38" s="239"/>
      <c r="Q38" s="280"/>
      <c r="R38" s="280"/>
      <c r="S38" s="311"/>
      <c r="T38" s="280"/>
      <c r="U38" s="502"/>
      <c r="V38" s="679"/>
      <c r="W38" s="249"/>
      <c r="X38" s="5"/>
      <c r="Y38" s="5"/>
      <c r="Z38" s="73"/>
      <c r="AA38" s="73"/>
      <c r="AB38" s="73"/>
      <c r="AC38" s="73"/>
      <c r="AD38" s="73"/>
      <c r="AE38" s="73"/>
      <c r="AF38" s="80"/>
      <c r="AG38" s="762" t="str">
        <f t="shared" si="7"/>
        <v xml:space="preserve"> </v>
      </c>
      <c r="AH38" s="81" t="str">
        <f t="shared" si="8"/>
        <v xml:space="preserve"> </v>
      </c>
      <c r="AI38" s="83" t="str">
        <f t="shared" si="9"/>
        <v xml:space="preserve"> </v>
      </c>
      <c r="AJ38" s="82" t="str">
        <f t="shared" si="10"/>
        <v xml:space="preserve">  </v>
      </c>
    </row>
    <row r="39" spans="1:170" s="16" customFormat="1" ht="12.6" thickBot="1" x14ac:dyDescent="0.3">
      <c r="A39" s="362" t="s">
        <v>73</v>
      </c>
      <c r="B39" s="57">
        <f t="shared" ref="B39:AD39" si="11">SUM(B19:B38)</f>
        <v>312</v>
      </c>
      <c r="C39" s="57">
        <f t="shared" si="11"/>
        <v>344</v>
      </c>
      <c r="D39" s="57">
        <f t="shared" si="11"/>
        <v>335</v>
      </c>
      <c r="E39" s="57">
        <f t="shared" si="11"/>
        <v>359</v>
      </c>
      <c r="F39" s="57">
        <f t="shared" si="11"/>
        <v>334</v>
      </c>
      <c r="G39" s="57">
        <f t="shared" si="11"/>
        <v>320</v>
      </c>
      <c r="H39" s="57">
        <f t="shared" si="11"/>
        <v>383</v>
      </c>
      <c r="I39" s="57">
        <f t="shared" si="11"/>
        <v>431</v>
      </c>
      <c r="J39" s="57">
        <f t="shared" si="11"/>
        <v>476</v>
      </c>
      <c r="K39" s="57">
        <f t="shared" si="11"/>
        <v>539</v>
      </c>
      <c r="L39" s="57">
        <f t="shared" si="11"/>
        <v>512</v>
      </c>
      <c r="M39" s="57">
        <f t="shared" si="11"/>
        <v>526</v>
      </c>
      <c r="N39" s="57">
        <f t="shared" si="11"/>
        <v>567</v>
      </c>
      <c r="O39" s="246">
        <f t="shared" si="11"/>
        <v>616</v>
      </c>
      <c r="P39" s="246">
        <f t="shared" si="11"/>
        <v>623</v>
      </c>
      <c r="Q39" s="288">
        <f t="shared" si="11"/>
        <v>662</v>
      </c>
      <c r="R39" s="288">
        <f t="shared" si="11"/>
        <v>678</v>
      </c>
      <c r="S39" s="288">
        <f t="shared" si="11"/>
        <v>716</v>
      </c>
      <c r="T39" s="288">
        <f t="shared" si="11"/>
        <v>769</v>
      </c>
      <c r="U39" s="509">
        <f t="shared" si="11"/>
        <v>705</v>
      </c>
      <c r="V39" s="687">
        <f t="shared" si="11"/>
        <v>729</v>
      </c>
      <c r="W39" s="168">
        <f t="shared" si="11"/>
        <v>678</v>
      </c>
      <c r="X39" s="57">
        <f t="shared" si="11"/>
        <v>673</v>
      </c>
      <c r="Y39" s="57">
        <f t="shared" si="11"/>
        <v>657</v>
      </c>
      <c r="Z39" s="57">
        <f t="shared" si="11"/>
        <v>638</v>
      </c>
      <c r="AA39" s="57">
        <f t="shared" si="11"/>
        <v>664</v>
      </c>
      <c r="AB39" s="57">
        <f t="shared" si="11"/>
        <v>692</v>
      </c>
      <c r="AC39" s="57">
        <f t="shared" si="11"/>
        <v>575</v>
      </c>
      <c r="AD39" s="57">
        <f t="shared" si="11"/>
        <v>554</v>
      </c>
      <c r="AE39" s="57">
        <f>SUM(AE19:AE38)</f>
        <v>463</v>
      </c>
      <c r="AF39" s="246">
        <f>SUM(AF19:AF38)</f>
        <v>433</v>
      </c>
      <c r="AG39" s="763">
        <f t="shared" si="7"/>
        <v>-6.4794816414686832E-2</v>
      </c>
      <c r="AH39" s="101">
        <f t="shared" si="8"/>
        <v>-0.34789156626506024</v>
      </c>
      <c r="AI39" s="102">
        <f t="shared" si="9"/>
        <v>-0.40603566529492457</v>
      </c>
      <c r="AJ39" s="57">
        <f t="shared" si="10"/>
        <v>483.33333333333331</v>
      </c>
      <c r="AK39" s="85"/>
      <c r="AL39" s="87"/>
      <c r="AM39" s="87"/>
      <c r="AN39" s="87"/>
      <c r="AO39" s="87"/>
      <c r="AP39" s="87"/>
      <c r="AQ39" s="87"/>
      <c r="AR39" s="87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</row>
    <row r="40" spans="1:170" ht="13.8" thickTop="1" x14ac:dyDescent="0.25">
      <c r="A40" s="363" t="s">
        <v>74</v>
      </c>
      <c r="B40" s="17"/>
      <c r="C40" s="18"/>
      <c r="D40" s="18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9"/>
      <c r="P40" s="19"/>
      <c r="Q40" s="19"/>
      <c r="R40" s="19"/>
      <c r="S40" s="19"/>
      <c r="T40" s="19"/>
      <c r="U40" s="19"/>
      <c r="V40" s="19"/>
      <c r="W40" s="19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1"/>
      <c r="AI40" s="179"/>
      <c r="AJ40" s="22"/>
    </row>
    <row r="41" spans="1:170" ht="12" x14ac:dyDescent="0.25">
      <c r="A41" s="481" t="s">
        <v>2</v>
      </c>
      <c r="B41" s="96">
        <v>78</v>
      </c>
      <c r="C41" s="96">
        <v>82</v>
      </c>
      <c r="D41" s="96">
        <v>104</v>
      </c>
      <c r="E41" s="96">
        <v>132</v>
      </c>
      <c r="F41" s="96">
        <v>106</v>
      </c>
      <c r="G41" s="96">
        <v>92</v>
      </c>
      <c r="H41" s="89">
        <v>92</v>
      </c>
      <c r="I41" s="89">
        <v>90</v>
      </c>
      <c r="J41" s="96">
        <v>104</v>
      </c>
      <c r="K41" s="96">
        <v>71</v>
      </c>
      <c r="L41" s="96">
        <v>82</v>
      </c>
      <c r="M41" s="96">
        <v>82</v>
      </c>
      <c r="N41" s="89">
        <v>91</v>
      </c>
      <c r="O41" s="238">
        <v>91</v>
      </c>
      <c r="P41" s="238">
        <v>85</v>
      </c>
      <c r="Q41" s="286">
        <v>93</v>
      </c>
      <c r="R41" s="286">
        <f>107+2</f>
        <v>109</v>
      </c>
      <c r="S41" s="310">
        <f>90+4</f>
        <v>94</v>
      </c>
      <c r="T41" s="286">
        <v>107</v>
      </c>
      <c r="U41" s="501">
        <v>110</v>
      </c>
      <c r="V41" s="678">
        <v>119</v>
      </c>
      <c r="W41" s="253">
        <v>119</v>
      </c>
      <c r="X41" s="89">
        <v>109</v>
      </c>
      <c r="Y41" s="89">
        <v>107</v>
      </c>
      <c r="Z41" s="88">
        <v>104</v>
      </c>
      <c r="AA41" s="88">
        <v>102</v>
      </c>
      <c r="AB41" s="88">
        <v>91</v>
      </c>
      <c r="AC41" s="88">
        <v>88</v>
      </c>
      <c r="AD41" s="88">
        <v>64</v>
      </c>
      <c r="AE41" s="88">
        <v>82</v>
      </c>
      <c r="AF41" s="734">
        <v>58</v>
      </c>
      <c r="AG41" s="761">
        <f t="shared" ref="AG41:AG54" si="12">IF(AF41=0," ",IF(AJ41&gt;20,(AF41-AE41)/AE41," "))</f>
        <v>-0.29268292682926828</v>
      </c>
      <c r="AH41" s="305">
        <f t="shared" ref="AH41:AH54" si="13">IF(AF41=0," ",IF(AJ41&gt;20,(AF41-AA41)/AA41," "))</f>
        <v>-0.43137254901960786</v>
      </c>
      <c r="AI41" s="306">
        <f t="shared" ref="AI41:AI54" si="14">IF(AF41=0," ",(IF(AJ41&gt;20,(AF41-V41)/V41," ")))</f>
        <v>-0.51260504201680668</v>
      </c>
      <c r="AJ41" s="223">
        <f t="shared" ref="AJ41:AJ54" si="15">IF(AD41&gt;0,AVERAGE(AD41:AF41),"  ")</f>
        <v>68</v>
      </c>
    </row>
    <row r="42" spans="1:170" ht="12" x14ac:dyDescent="0.25">
      <c r="A42" s="364" t="s">
        <v>3</v>
      </c>
      <c r="B42" s="71">
        <v>11</v>
      </c>
      <c r="C42" s="71">
        <v>4</v>
      </c>
      <c r="D42" s="71">
        <v>9</v>
      </c>
      <c r="E42" s="71">
        <v>10</v>
      </c>
      <c r="F42" s="71">
        <v>11</v>
      </c>
      <c r="G42" s="71">
        <v>6</v>
      </c>
      <c r="H42" s="5">
        <v>13</v>
      </c>
      <c r="I42" s="5">
        <v>12</v>
      </c>
      <c r="J42" s="71">
        <v>10</v>
      </c>
      <c r="K42" s="71">
        <v>7</v>
      </c>
      <c r="L42" s="71">
        <v>12</v>
      </c>
      <c r="M42" s="71">
        <v>8</v>
      </c>
      <c r="N42" s="5">
        <v>9</v>
      </c>
      <c r="O42" s="239">
        <v>12</v>
      </c>
      <c r="P42" s="239">
        <v>10</v>
      </c>
      <c r="Q42" s="280">
        <v>11</v>
      </c>
      <c r="R42" s="280">
        <v>7</v>
      </c>
      <c r="S42" s="311">
        <v>13</v>
      </c>
      <c r="T42" s="280">
        <v>10</v>
      </c>
      <c r="U42" s="502">
        <v>14</v>
      </c>
      <c r="V42" s="679">
        <v>15</v>
      </c>
      <c r="W42" s="249">
        <v>20</v>
      </c>
      <c r="X42" s="5">
        <v>14</v>
      </c>
      <c r="Y42" s="5">
        <v>15</v>
      </c>
      <c r="Z42" s="72">
        <v>20</v>
      </c>
      <c r="AA42" s="72">
        <v>24</v>
      </c>
      <c r="AB42" s="72">
        <v>14</v>
      </c>
      <c r="AC42" s="72">
        <v>17</v>
      </c>
      <c r="AD42" s="72">
        <v>13</v>
      </c>
      <c r="AE42" s="72">
        <v>9</v>
      </c>
      <c r="AF42" s="80">
        <v>10</v>
      </c>
      <c r="AG42" s="755" t="str">
        <f t="shared" si="12"/>
        <v xml:space="preserve"> </v>
      </c>
      <c r="AH42" s="206" t="str">
        <f t="shared" si="13"/>
        <v xml:space="preserve"> </v>
      </c>
      <c r="AI42" s="207" t="str">
        <f t="shared" si="14"/>
        <v xml:space="preserve"> </v>
      </c>
      <c r="AJ42" s="120">
        <f t="shared" si="15"/>
        <v>10.666666666666666</v>
      </c>
    </row>
    <row r="43" spans="1:170" ht="12" x14ac:dyDescent="0.25">
      <c r="A43" s="364" t="s">
        <v>4</v>
      </c>
      <c r="B43" s="71">
        <v>0</v>
      </c>
      <c r="C43" s="71">
        <v>0</v>
      </c>
      <c r="D43" s="71">
        <v>0</v>
      </c>
      <c r="E43" s="71">
        <v>0</v>
      </c>
      <c r="F43" s="71">
        <v>0</v>
      </c>
      <c r="G43" s="71">
        <v>0</v>
      </c>
      <c r="H43" s="5">
        <v>1</v>
      </c>
      <c r="I43" s="5">
        <v>11</v>
      </c>
      <c r="J43" s="71">
        <v>6</v>
      </c>
      <c r="K43" s="71">
        <v>15</v>
      </c>
      <c r="L43" s="71">
        <v>15</v>
      </c>
      <c r="M43" s="71">
        <v>18</v>
      </c>
      <c r="N43" s="5">
        <v>10</v>
      </c>
      <c r="O43" s="239">
        <v>6</v>
      </c>
      <c r="P43" s="239">
        <v>16</v>
      </c>
      <c r="Q43" s="280">
        <v>9</v>
      </c>
      <c r="R43" s="280">
        <f>17+1</f>
        <v>18</v>
      </c>
      <c r="S43" s="311">
        <v>17</v>
      </c>
      <c r="T43" s="280">
        <v>11</v>
      </c>
      <c r="U43" s="502">
        <v>15</v>
      </c>
      <c r="V43" s="679">
        <v>26</v>
      </c>
      <c r="W43" s="249">
        <v>25</v>
      </c>
      <c r="X43" s="5">
        <v>31</v>
      </c>
      <c r="Y43" s="5">
        <v>36</v>
      </c>
      <c r="Z43" s="72">
        <v>36</v>
      </c>
      <c r="AA43" s="72">
        <v>39</v>
      </c>
      <c r="AB43" s="72">
        <v>26</v>
      </c>
      <c r="AC43" s="72">
        <v>29</v>
      </c>
      <c r="AD43" s="72">
        <v>31</v>
      </c>
      <c r="AE43" s="72">
        <v>27</v>
      </c>
      <c r="AF43" s="80">
        <v>32</v>
      </c>
      <c r="AG43" s="755">
        <f t="shared" si="12"/>
        <v>0.18518518518518517</v>
      </c>
      <c r="AH43" s="206">
        <f t="shared" si="13"/>
        <v>-0.17948717948717949</v>
      </c>
      <c r="AI43" s="207">
        <f t="shared" si="14"/>
        <v>0.23076923076923078</v>
      </c>
      <c r="AJ43" s="120">
        <f t="shared" si="15"/>
        <v>30</v>
      </c>
    </row>
    <row r="44" spans="1:170" ht="12" x14ac:dyDescent="0.25">
      <c r="A44" s="364" t="s">
        <v>125</v>
      </c>
      <c r="B44" s="71"/>
      <c r="C44" s="71"/>
      <c r="D44" s="71"/>
      <c r="E44" s="71"/>
      <c r="F44" s="71"/>
      <c r="G44" s="71"/>
      <c r="H44" s="5"/>
      <c r="I44" s="5"/>
      <c r="J44" s="71"/>
      <c r="K44" s="71"/>
      <c r="L44" s="71"/>
      <c r="M44" s="71"/>
      <c r="N44" s="5"/>
      <c r="O44" s="239"/>
      <c r="P44" s="239"/>
      <c r="Q44" s="280"/>
      <c r="R44" s="280"/>
      <c r="S44" s="311"/>
      <c r="T44" s="280">
        <v>0</v>
      </c>
      <c r="U44" s="484"/>
      <c r="V44" s="688"/>
      <c r="W44" s="560"/>
      <c r="X44" s="560"/>
      <c r="Y44" s="560"/>
      <c r="Z44" s="560"/>
      <c r="AA44" s="560"/>
      <c r="AB44" s="560"/>
      <c r="AC44" s="551"/>
      <c r="AD44" s="72">
        <v>4</v>
      </c>
      <c r="AE44" s="72">
        <v>9</v>
      </c>
      <c r="AF44" s="80">
        <f>4+1</f>
        <v>5</v>
      </c>
      <c r="AG44" s="755" t="str">
        <f t="shared" si="12"/>
        <v xml:space="preserve"> </v>
      </c>
      <c r="AH44" s="206" t="str">
        <f t="shared" si="13"/>
        <v xml:space="preserve"> </v>
      </c>
      <c r="AI44" s="207" t="str">
        <f t="shared" si="14"/>
        <v xml:space="preserve"> </v>
      </c>
      <c r="AJ44" s="120">
        <f t="shared" si="15"/>
        <v>6</v>
      </c>
    </row>
    <row r="45" spans="1:170" ht="12" x14ac:dyDescent="0.25">
      <c r="A45" s="610" t="s">
        <v>52</v>
      </c>
      <c r="B45" s="74"/>
      <c r="C45" s="74"/>
      <c r="D45" s="74"/>
      <c r="E45" s="74"/>
      <c r="F45" s="74"/>
      <c r="G45" s="74">
        <v>0</v>
      </c>
      <c r="H45" s="7"/>
      <c r="I45" s="7"/>
      <c r="J45" s="74"/>
      <c r="K45" s="74"/>
      <c r="L45" s="74"/>
      <c r="M45" s="74">
        <v>0</v>
      </c>
      <c r="N45" s="7">
        <v>0</v>
      </c>
      <c r="O45" s="240">
        <v>0</v>
      </c>
      <c r="P45" s="240">
        <v>0</v>
      </c>
      <c r="Q45" s="281">
        <v>1</v>
      </c>
      <c r="R45" s="281">
        <v>1</v>
      </c>
      <c r="S45" s="312">
        <v>2</v>
      </c>
      <c r="T45" s="281">
        <v>10</v>
      </c>
      <c r="U45" s="503">
        <f>4+2</f>
        <v>6</v>
      </c>
      <c r="V45" s="681">
        <v>19</v>
      </c>
      <c r="W45" s="254">
        <f>4+2</f>
        <v>6</v>
      </c>
      <c r="X45" s="99">
        <v>7</v>
      </c>
      <c r="Y45" s="99">
        <v>11</v>
      </c>
      <c r="Z45" s="84">
        <v>9</v>
      </c>
      <c r="AA45" s="84">
        <v>17</v>
      </c>
      <c r="AB45" s="84">
        <v>10</v>
      </c>
      <c r="AC45" s="84">
        <v>16</v>
      </c>
      <c r="AD45" s="84">
        <v>6</v>
      </c>
      <c r="AE45" s="84">
        <v>14</v>
      </c>
      <c r="AF45" s="729">
        <v>15</v>
      </c>
      <c r="AG45" s="756" t="str">
        <f t="shared" si="12"/>
        <v xml:space="preserve"> </v>
      </c>
      <c r="AH45" s="203" t="str">
        <f t="shared" si="13"/>
        <v xml:space="preserve"> </v>
      </c>
      <c r="AI45" s="204" t="str">
        <f t="shared" si="14"/>
        <v xml:space="preserve"> </v>
      </c>
      <c r="AJ45" s="221">
        <f t="shared" si="15"/>
        <v>11.666666666666666</v>
      </c>
    </row>
    <row r="46" spans="1:170" ht="12" x14ac:dyDescent="0.25">
      <c r="A46" s="563" t="s">
        <v>149</v>
      </c>
      <c r="B46" s="71"/>
      <c r="C46" s="71"/>
      <c r="D46" s="71"/>
      <c r="E46" s="71"/>
      <c r="F46" s="71"/>
      <c r="G46" s="71"/>
      <c r="H46" s="5"/>
      <c r="I46" s="5"/>
      <c r="J46" s="71"/>
      <c r="K46" s="71"/>
      <c r="L46" s="71"/>
      <c r="M46" s="71"/>
      <c r="N46" s="5"/>
      <c r="O46" s="239"/>
      <c r="P46" s="239"/>
      <c r="Q46" s="280"/>
      <c r="R46" s="280"/>
      <c r="S46" s="311"/>
      <c r="T46" s="280"/>
      <c r="U46" s="502"/>
      <c r="V46" s="689"/>
      <c r="W46" s="608"/>
      <c r="X46" s="608"/>
      <c r="Y46" s="608"/>
      <c r="Z46" s="608"/>
      <c r="AA46" s="608"/>
      <c r="AB46" s="608"/>
      <c r="AC46" s="608"/>
      <c r="AD46" s="608"/>
      <c r="AE46" s="555"/>
      <c r="AF46" s="80">
        <v>2</v>
      </c>
      <c r="AG46" s="755"/>
      <c r="AH46" s="206"/>
      <c r="AI46" s="207"/>
      <c r="AJ46" s="120" t="str">
        <f t="shared" si="15"/>
        <v xml:space="preserve">  </v>
      </c>
    </row>
    <row r="47" spans="1:170" ht="12" hidden="1" x14ac:dyDescent="0.25">
      <c r="A47" s="364" t="s">
        <v>128</v>
      </c>
      <c r="B47" s="71">
        <v>6</v>
      </c>
      <c r="C47" s="71">
        <v>8</v>
      </c>
      <c r="D47" s="71">
        <v>12</v>
      </c>
      <c r="E47" s="71">
        <v>21</v>
      </c>
      <c r="F47" s="71">
        <v>15</v>
      </c>
      <c r="G47" s="71">
        <v>6</v>
      </c>
      <c r="H47" s="5">
        <v>13</v>
      </c>
      <c r="I47" s="5">
        <v>12</v>
      </c>
      <c r="J47" s="71">
        <v>10</v>
      </c>
      <c r="K47" s="71">
        <v>8</v>
      </c>
      <c r="L47" s="71">
        <v>10</v>
      </c>
      <c r="M47" s="71">
        <v>7</v>
      </c>
      <c r="N47" s="5">
        <v>4</v>
      </c>
      <c r="O47" s="239">
        <v>8</v>
      </c>
      <c r="P47" s="239">
        <v>5</v>
      </c>
      <c r="Q47" s="280">
        <v>2</v>
      </c>
      <c r="R47" s="280">
        <v>2</v>
      </c>
      <c r="S47" s="311">
        <v>0</v>
      </c>
      <c r="T47" s="280">
        <v>1</v>
      </c>
      <c r="U47" s="502">
        <v>0</v>
      </c>
      <c r="V47" s="679">
        <v>0</v>
      </c>
      <c r="W47" s="249">
        <v>1</v>
      </c>
      <c r="X47" s="5">
        <v>0</v>
      </c>
      <c r="Y47" s="5">
        <v>0</v>
      </c>
      <c r="Z47" s="72">
        <v>0</v>
      </c>
      <c r="AA47" s="72">
        <v>0</v>
      </c>
      <c r="AB47" s="72">
        <v>0</v>
      </c>
      <c r="AC47" s="72">
        <v>0</v>
      </c>
      <c r="AD47" s="72">
        <v>0</v>
      </c>
      <c r="AE47" s="72">
        <v>0</v>
      </c>
      <c r="AF47" s="80"/>
      <c r="AG47" s="755" t="str">
        <f t="shared" si="12"/>
        <v xml:space="preserve"> </v>
      </c>
      <c r="AH47" s="206" t="str">
        <f t="shared" si="13"/>
        <v xml:space="preserve"> </v>
      </c>
      <c r="AI47" s="207" t="str">
        <f t="shared" si="14"/>
        <v xml:space="preserve"> </v>
      </c>
      <c r="AJ47" s="120" t="str">
        <f t="shared" si="15"/>
        <v xml:space="preserve">  </v>
      </c>
    </row>
    <row r="48" spans="1:170" ht="12" x14ac:dyDescent="0.25">
      <c r="A48" s="364" t="s">
        <v>13</v>
      </c>
      <c r="B48" s="71">
        <v>14</v>
      </c>
      <c r="C48" s="71">
        <v>31</v>
      </c>
      <c r="D48" s="71">
        <v>26</v>
      </c>
      <c r="E48" s="71">
        <v>22</v>
      </c>
      <c r="F48" s="71">
        <v>22</v>
      </c>
      <c r="G48" s="71">
        <v>22</v>
      </c>
      <c r="H48" s="5">
        <v>17</v>
      </c>
      <c r="I48" s="5">
        <v>22</v>
      </c>
      <c r="J48" s="71">
        <v>28</v>
      </c>
      <c r="K48" s="71">
        <v>13</v>
      </c>
      <c r="L48" s="71">
        <v>32</v>
      </c>
      <c r="M48" s="71">
        <v>20</v>
      </c>
      <c r="N48" s="5">
        <v>20</v>
      </c>
      <c r="O48" s="239">
        <v>34</v>
      </c>
      <c r="P48" s="239">
        <v>35</v>
      </c>
      <c r="Q48" s="280">
        <v>37</v>
      </c>
      <c r="R48" s="280">
        <f>28+1</f>
        <v>29</v>
      </c>
      <c r="S48" s="311">
        <f>31+1</f>
        <v>32</v>
      </c>
      <c r="T48" s="280">
        <v>30</v>
      </c>
      <c r="U48" s="502">
        <v>28</v>
      </c>
      <c r="V48" s="679">
        <v>38</v>
      </c>
      <c r="W48" s="249">
        <v>23</v>
      </c>
      <c r="X48" s="5">
        <v>35</v>
      </c>
      <c r="Y48" s="5">
        <v>31</v>
      </c>
      <c r="Z48" s="72">
        <v>30</v>
      </c>
      <c r="AA48" s="72">
        <v>25</v>
      </c>
      <c r="AB48" s="72">
        <v>23</v>
      </c>
      <c r="AC48" s="72">
        <v>15</v>
      </c>
      <c r="AD48" s="72">
        <v>15</v>
      </c>
      <c r="AE48" s="72">
        <v>15</v>
      </c>
      <c r="AF48" s="80">
        <f>10+1</f>
        <v>11</v>
      </c>
      <c r="AG48" s="755" t="str">
        <f t="shared" si="12"/>
        <v xml:space="preserve"> </v>
      </c>
      <c r="AH48" s="206" t="str">
        <f t="shared" si="13"/>
        <v xml:space="preserve"> </v>
      </c>
      <c r="AI48" s="207" t="str">
        <f t="shared" si="14"/>
        <v xml:space="preserve"> </v>
      </c>
      <c r="AJ48" s="120">
        <f t="shared" si="15"/>
        <v>13.666666666666666</v>
      </c>
    </row>
    <row r="49" spans="1:170" ht="12" x14ac:dyDescent="0.25">
      <c r="A49" s="365" t="s">
        <v>126</v>
      </c>
      <c r="B49" s="71"/>
      <c r="C49" s="71"/>
      <c r="D49" s="71"/>
      <c r="E49" s="71"/>
      <c r="F49" s="71"/>
      <c r="G49" s="71"/>
      <c r="H49" s="5"/>
      <c r="I49" s="5"/>
      <c r="J49" s="71"/>
      <c r="K49" s="71"/>
      <c r="L49" s="71"/>
      <c r="M49" s="71"/>
      <c r="N49" s="5"/>
      <c r="O49" s="239"/>
      <c r="P49" s="239"/>
      <c r="Q49" s="280"/>
      <c r="R49" s="280">
        <v>0</v>
      </c>
      <c r="S49" s="311"/>
      <c r="T49" s="280">
        <v>0</v>
      </c>
      <c r="U49" s="484"/>
      <c r="V49" s="690"/>
      <c r="W49" s="609"/>
      <c r="X49" s="609"/>
      <c r="Y49" s="609"/>
      <c r="Z49" s="609"/>
      <c r="AA49" s="609"/>
      <c r="AB49" s="75">
        <v>1</v>
      </c>
      <c r="AC49" s="75">
        <v>1</v>
      </c>
      <c r="AD49" s="75">
        <v>8</v>
      </c>
      <c r="AE49" s="75">
        <v>6</v>
      </c>
      <c r="AF49" s="730">
        <v>4</v>
      </c>
      <c r="AG49" s="757" t="str">
        <f t="shared" si="12"/>
        <v xml:space="preserve"> </v>
      </c>
      <c r="AH49" s="209" t="str">
        <f t="shared" si="13"/>
        <v xml:space="preserve"> </v>
      </c>
      <c r="AI49" s="210" t="str">
        <f t="shared" si="14"/>
        <v xml:space="preserve"> </v>
      </c>
      <c r="AJ49" s="222">
        <f t="shared" si="15"/>
        <v>6</v>
      </c>
    </row>
    <row r="50" spans="1:170" ht="12" x14ac:dyDescent="0.25">
      <c r="A50" s="366" t="s">
        <v>18</v>
      </c>
      <c r="B50" s="71">
        <v>21</v>
      </c>
      <c r="C50" s="71">
        <v>21</v>
      </c>
      <c r="D50" s="71">
        <v>24</v>
      </c>
      <c r="E50" s="71">
        <v>22</v>
      </c>
      <c r="F50" s="71">
        <v>21</v>
      </c>
      <c r="G50" s="71">
        <v>16</v>
      </c>
      <c r="H50" s="5">
        <v>27</v>
      </c>
      <c r="I50" s="5">
        <v>12</v>
      </c>
      <c r="J50" s="71">
        <v>22</v>
      </c>
      <c r="K50" s="71">
        <v>24</v>
      </c>
      <c r="L50" s="71">
        <v>22</v>
      </c>
      <c r="M50" s="71">
        <v>22</v>
      </c>
      <c r="N50" s="5">
        <v>24</v>
      </c>
      <c r="O50" s="239">
        <v>28</v>
      </c>
      <c r="P50" s="239">
        <v>14</v>
      </c>
      <c r="Q50" s="280">
        <v>19</v>
      </c>
      <c r="R50" s="280">
        <f>23+4</f>
        <v>27</v>
      </c>
      <c r="S50" s="311">
        <f>24+2</f>
        <v>26</v>
      </c>
      <c r="T50" s="280">
        <v>26</v>
      </c>
      <c r="U50" s="502">
        <f>30+1</f>
        <v>31</v>
      </c>
      <c r="V50" s="679">
        <v>33</v>
      </c>
      <c r="W50" s="249">
        <f>32+1</f>
        <v>33</v>
      </c>
      <c r="X50" s="5">
        <v>31</v>
      </c>
      <c r="Y50" s="5">
        <v>26</v>
      </c>
      <c r="Z50" s="72">
        <v>27</v>
      </c>
      <c r="AA50" s="72">
        <v>21</v>
      </c>
      <c r="AB50" s="72">
        <v>36</v>
      </c>
      <c r="AC50" s="72">
        <v>21</v>
      </c>
      <c r="AD50" s="72">
        <v>21</v>
      </c>
      <c r="AE50" s="72">
        <v>14</v>
      </c>
      <c r="AF50" s="80">
        <v>21</v>
      </c>
      <c r="AG50" s="755" t="str">
        <f t="shared" si="12"/>
        <v xml:space="preserve"> </v>
      </c>
      <c r="AH50" s="206" t="str">
        <f t="shared" si="13"/>
        <v xml:space="preserve"> </v>
      </c>
      <c r="AI50" s="207" t="str">
        <f t="shared" si="14"/>
        <v xml:space="preserve"> </v>
      </c>
      <c r="AJ50" s="120">
        <f t="shared" si="15"/>
        <v>18.666666666666668</v>
      </c>
    </row>
    <row r="51" spans="1:170" ht="12" x14ac:dyDescent="0.25">
      <c r="A51" s="366" t="s">
        <v>22</v>
      </c>
      <c r="B51" s="71">
        <v>1</v>
      </c>
      <c r="C51" s="71">
        <v>5</v>
      </c>
      <c r="D51" s="71">
        <v>8</v>
      </c>
      <c r="E51" s="71">
        <v>5</v>
      </c>
      <c r="F51" s="71">
        <v>4</v>
      </c>
      <c r="G51" s="71">
        <v>9</v>
      </c>
      <c r="H51" s="5">
        <v>5</v>
      </c>
      <c r="I51" s="5">
        <v>8</v>
      </c>
      <c r="J51" s="71">
        <v>13</v>
      </c>
      <c r="K51" s="71">
        <v>8</v>
      </c>
      <c r="L51" s="71">
        <v>4</v>
      </c>
      <c r="M51" s="71">
        <v>12</v>
      </c>
      <c r="N51" s="5">
        <v>8</v>
      </c>
      <c r="O51" s="239">
        <v>13</v>
      </c>
      <c r="P51" s="239">
        <v>6</v>
      </c>
      <c r="Q51" s="280">
        <v>8</v>
      </c>
      <c r="R51" s="280">
        <v>7</v>
      </c>
      <c r="S51" s="311">
        <v>5</v>
      </c>
      <c r="T51" s="280">
        <v>11</v>
      </c>
      <c r="U51" s="502">
        <v>9</v>
      </c>
      <c r="V51" s="679">
        <v>12</v>
      </c>
      <c r="W51" s="249">
        <v>21</v>
      </c>
      <c r="X51" s="5">
        <v>18</v>
      </c>
      <c r="Y51" s="5">
        <v>30</v>
      </c>
      <c r="Z51" s="72">
        <v>12</v>
      </c>
      <c r="AA51" s="72">
        <v>20</v>
      </c>
      <c r="AB51" s="72">
        <v>14</v>
      </c>
      <c r="AC51" s="72">
        <v>9</v>
      </c>
      <c r="AD51" s="72">
        <v>8</v>
      </c>
      <c r="AE51" s="72">
        <v>5</v>
      </c>
      <c r="AF51" s="80">
        <v>7</v>
      </c>
      <c r="AG51" s="755" t="str">
        <f t="shared" si="12"/>
        <v xml:space="preserve"> </v>
      </c>
      <c r="AH51" s="206" t="str">
        <f t="shared" si="13"/>
        <v xml:space="preserve"> </v>
      </c>
      <c r="AI51" s="207" t="str">
        <f t="shared" si="14"/>
        <v xml:space="preserve"> </v>
      </c>
      <c r="AJ51" s="120">
        <f t="shared" si="15"/>
        <v>6.666666666666667</v>
      </c>
    </row>
    <row r="52" spans="1:170" ht="13.8" hidden="1" x14ac:dyDescent="0.25">
      <c r="A52" s="366" t="s">
        <v>110</v>
      </c>
      <c r="B52" s="71">
        <v>8</v>
      </c>
      <c r="C52" s="71">
        <v>2</v>
      </c>
      <c r="D52" s="71"/>
      <c r="E52" s="71">
        <v>2</v>
      </c>
      <c r="F52" s="71">
        <v>0</v>
      </c>
      <c r="G52" s="71">
        <v>0</v>
      </c>
      <c r="H52" s="5">
        <v>0</v>
      </c>
      <c r="I52" s="5">
        <v>0</v>
      </c>
      <c r="J52" s="71">
        <v>0</v>
      </c>
      <c r="K52" s="71">
        <v>0</v>
      </c>
      <c r="L52" s="71">
        <v>0</v>
      </c>
      <c r="M52" s="71">
        <v>0</v>
      </c>
      <c r="N52" s="5">
        <v>0</v>
      </c>
      <c r="O52" s="239"/>
      <c r="P52" s="239"/>
      <c r="Q52" s="280"/>
      <c r="R52" s="280"/>
      <c r="S52" s="311"/>
      <c r="T52" s="280"/>
      <c r="U52" s="502"/>
      <c r="V52" s="679"/>
      <c r="W52" s="249"/>
      <c r="X52" s="5"/>
      <c r="Y52" s="5"/>
      <c r="Z52" s="72"/>
      <c r="AA52" s="72"/>
      <c r="AB52" s="72"/>
      <c r="AC52" s="72"/>
      <c r="AD52" s="72"/>
      <c r="AE52" s="72"/>
      <c r="AF52" s="80"/>
      <c r="AG52" s="755" t="str">
        <f t="shared" si="12"/>
        <v xml:space="preserve"> </v>
      </c>
      <c r="AH52" s="206" t="str">
        <f t="shared" si="13"/>
        <v xml:space="preserve"> </v>
      </c>
      <c r="AI52" s="207" t="str">
        <f t="shared" si="14"/>
        <v xml:space="preserve"> </v>
      </c>
      <c r="AJ52" s="120" t="str">
        <f t="shared" si="15"/>
        <v xml:space="preserve">  </v>
      </c>
    </row>
    <row r="53" spans="1:170" ht="12" x14ac:dyDescent="0.25">
      <c r="A53" s="367" t="s">
        <v>143</v>
      </c>
      <c r="B53" s="105"/>
      <c r="C53" s="105"/>
      <c r="D53" s="105"/>
      <c r="E53" s="105"/>
      <c r="F53" s="105"/>
      <c r="G53" s="105"/>
      <c r="H53" s="90"/>
      <c r="I53" s="90"/>
      <c r="J53" s="105"/>
      <c r="K53" s="105"/>
      <c r="L53" s="105"/>
      <c r="M53" s="105"/>
      <c r="N53" s="90"/>
      <c r="O53" s="247"/>
      <c r="P53" s="247">
        <v>0</v>
      </c>
      <c r="Q53" s="289"/>
      <c r="R53" s="289">
        <v>0</v>
      </c>
      <c r="S53" s="316"/>
      <c r="T53" s="289">
        <v>0</v>
      </c>
      <c r="U53" s="484"/>
      <c r="V53" s="691"/>
      <c r="W53" s="255">
        <v>0</v>
      </c>
      <c r="X53" s="90">
        <v>0</v>
      </c>
      <c r="Y53" s="90">
        <v>0</v>
      </c>
      <c r="Z53" s="79">
        <v>1</v>
      </c>
      <c r="AA53" s="79">
        <v>6</v>
      </c>
      <c r="AB53" s="79">
        <v>1</v>
      </c>
      <c r="AC53" s="79">
        <v>6</v>
      </c>
      <c r="AD53" s="79">
        <v>5</v>
      </c>
      <c r="AE53" s="79">
        <v>2</v>
      </c>
      <c r="AF53" s="733">
        <v>1</v>
      </c>
      <c r="AG53" s="764" t="str">
        <f t="shared" si="12"/>
        <v xml:space="preserve"> </v>
      </c>
      <c r="AH53" s="474" t="str">
        <f t="shared" si="13"/>
        <v xml:space="preserve"> </v>
      </c>
      <c r="AI53" s="475" t="str">
        <f t="shared" si="14"/>
        <v xml:space="preserve"> </v>
      </c>
      <c r="AJ53" s="469">
        <f t="shared" si="15"/>
        <v>2.6666666666666665</v>
      </c>
    </row>
    <row r="54" spans="1:170" s="16" customFormat="1" ht="12.6" thickBot="1" x14ac:dyDescent="0.3">
      <c r="A54" s="368" t="s">
        <v>75</v>
      </c>
      <c r="B54" s="106">
        <f t="shared" ref="B54" si="16">SUM(B40:B52)</f>
        <v>139</v>
      </c>
      <c r="C54" s="106">
        <f t="shared" ref="C54:O54" si="17">SUM(C41:C52)</f>
        <v>153</v>
      </c>
      <c r="D54" s="106">
        <f t="shared" si="17"/>
        <v>183</v>
      </c>
      <c r="E54" s="106">
        <f t="shared" si="17"/>
        <v>214</v>
      </c>
      <c r="F54" s="106">
        <f t="shared" si="17"/>
        <v>179</v>
      </c>
      <c r="G54" s="106">
        <f t="shared" si="17"/>
        <v>151</v>
      </c>
      <c r="H54" s="106">
        <f t="shared" si="17"/>
        <v>168</v>
      </c>
      <c r="I54" s="106">
        <f t="shared" si="17"/>
        <v>167</v>
      </c>
      <c r="J54" s="106">
        <f t="shared" si="17"/>
        <v>193</v>
      </c>
      <c r="K54" s="106">
        <f t="shared" si="17"/>
        <v>146</v>
      </c>
      <c r="L54" s="106">
        <f t="shared" si="17"/>
        <v>177</v>
      </c>
      <c r="M54" s="106">
        <f t="shared" si="17"/>
        <v>169</v>
      </c>
      <c r="N54" s="106">
        <f t="shared" si="17"/>
        <v>166</v>
      </c>
      <c r="O54" s="248">
        <f t="shared" si="17"/>
        <v>192</v>
      </c>
      <c r="P54" s="266">
        <f t="shared" ref="P54" si="18">SUM(P41:P53)</f>
        <v>171</v>
      </c>
      <c r="Q54" s="290">
        <f t="shared" ref="Q54" si="19">SUM(Q41:Q53)</f>
        <v>180</v>
      </c>
      <c r="R54" s="290">
        <f>SUM(R41:R53)</f>
        <v>200</v>
      </c>
      <c r="S54" s="290">
        <f>SUM(S41:S53)</f>
        <v>189</v>
      </c>
      <c r="T54" s="290">
        <f>SUM(T41:T53)</f>
        <v>206</v>
      </c>
      <c r="U54" s="516">
        <f>SUM(U41:U53)</f>
        <v>213</v>
      </c>
      <c r="V54" s="692">
        <f t="shared" ref="V54:X54" si="20">SUM(V41:V53)</f>
        <v>262</v>
      </c>
      <c r="W54" s="164">
        <f>SUM(W41:W53)</f>
        <v>248</v>
      </c>
      <c r="X54" s="106">
        <f t="shared" si="20"/>
        <v>245</v>
      </c>
      <c r="Y54" s="106">
        <f t="shared" ref="Y54:AE54" si="21">SUM(Y41:Y53)</f>
        <v>256</v>
      </c>
      <c r="Z54" s="106">
        <f t="shared" si="21"/>
        <v>239</v>
      </c>
      <c r="AA54" s="106">
        <f t="shared" si="21"/>
        <v>254</v>
      </c>
      <c r="AB54" s="106">
        <f t="shared" si="21"/>
        <v>216</v>
      </c>
      <c r="AC54" s="106">
        <f t="shared" si="21"/>
        <v>202</v>
      </c>
      <c r="AD54" s="106">
        <f t="shared" ref="AD54" si="22">SUM(AD41:AD53)</f>
        <v>175</v>
      </c>
      <c r="AE54" s="106">
        <f t="shared" si="21"/>
        <v>183</v>
      </c>
      <c r="AF54" s="248">
        <f>SUM(AF41:AF53)</f>
        <v>166</v>
      </c>
      <c r="AG54" s="765">
        <f t="shared" si="12"/>
        <v>-9.2896174863387984E-2</v>
      </c>
      <c r="AH54" s="107">
        <f t="shared" si="13"/>
        <v>-0.34645669291338582</v>
      </c>
      <c r="AI54" s="108">
        <f t="shared" si="14"/>
        <v>-0.36641221374045801</v>
      </c>
      <c r="AJ54" s="180">
        <f t="shared" si="15"/>
        <v>174.66666666666666</v>
      </c>
      <c r="AK54" s="85"/>
      <c r="AL54" s="87"/>
      <c r="AM54" s="87"/>
      <c r="AN54" s="87"/>
      <c r="AO54" s="87"/>
      <c r="AP54" s="87"/>
      <c r="AQ54" s="87"/>
      <c r="AR54" s="87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</row>
    <row r="55" spans="1:170" s="16" customFormat="1" ht="12.6" thickTop="1" x14ac:dyDescent="0.25">
      <c r="A55" s="369" t="s">
        <v>76</v>
      </c>
      <c r="B55" s="24"/>
      <c r="C55" s="25"/>
      <c r="D55" s="25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6"/>
      <c r="P55" s="26"/>
      <c r="Q55" s="26"/>
      <c r="R55" s="26"/>
      <c r="S55" s="26"/>
      <c r="T55" s="26"/>
      <c r="U55" s="26"/>
      <c r="V55" s="26"/>
      <c r="W55" s="26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8"/>
      <c r="AI55" s="28"/>
      <c r="AJ55" s="195"/>
      <c r="AK55" s="85"/>
      <c r="AL55" s="87"/>
      <c r="AM55" s="87"/>
      <c r="AN55" s="87"/>
      <c r="AO55" s="87"/>
      <c r="AP55" s="87"/>
      <c r="AQ55" s="87"/>
      <c r="AR55" s="87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</row>
    <row r="56" spans="1:170" ht="12" x14ac:dyDescent="0.25">
      <c r="A56" s="471" t="s">
        <v>0</v>
      </c>
      <c r="B56" s="96">
        <v>62</v>
      </c>
      <c r="C56" s="96">
        <v>49</v>
      </c>
      <c r="D56" s="96">
        <v>55</v>
      </c>
      <c r="E56" s="96">
        <v>60</v>
      </c>
      <c r="F56" s="96">
        <v>42</v>
      </c>
      <c r="G56" s="96">
        <v>26</v>
      </c>
      <c r="H56" s="89">
        <v>46</v>
      </c>
      <c r="I56" s="89">
        <v>30</v>
      </c>
      <c r="J56" s="96">
        <v>25</v>
      </c>
      <c r="K56" s="96">
        <v>32</v>
      </c>
      <c r="L56" s="96">
        <v>34</v>
      </c>
      <c r="M56" s="96">
        <v>40</v>
      </c>
      <c r="N56" s="89">
        <v>38</v>
      </c>
      <c r="O56" s="238">
        <v>30</v>
      </c>
      <c r="P56" s="238">
        <v>61</v>
      </c>
      <c r="Q56" s="286">
        <v>60</v>
      </c>
      <c r="R56" s="286">
        <v>53</v>
      </c>
      <c r="S56" s="310">
        <f>46+1</f>
        <v>47</v>
      </c>
      <c r="T56" s="286">
        <v>44</v>
      </c>
      <c r="U56" s="501">
        <f>56+1</f>
        <v>57</v>
      </c>
      <c r="V56" s="678">
        <v>53</v>
      </c>
      <c r="W56" s="253">
        <f>66+3</f>
        <v>69</v>
      </c>
      <c r="X56" s="89">
        <v>81</v>
      </c>
      <c r="Y56" s="89">
        <v>60</v>
      </c>
      <c r="Z56" s="88">
        <v>40</v>
      </c>
      <c r="AA56" s="88">
        <v>63</v>
      </c>
      <c r="AB56" s="88">
        <v>46</v>
      </c>
      <c r="AC56" s="88">
        <v>37</v>
      </c>
      <c r="AD56" s="88">
        <v>41</v>
      </c>
      <c r="AE56" s="88">
        <v>35</v>
      </c>
      <c r="AF56" s="734">
        <f>35+3</f>
        <v>38</v>
      </c>
      <c r="AG56" s="761">
        <f t="shared" ref="AG56:AG65" si="23">IF(AF56=0," ",IF(AJ56&gt;20,(AF56-AE56)/AE56," "))</f>
        <v>8.5714285714285715E-2</v>
      </c>
      <c r="AH56" s="305">
        <f t="shared" ref="AH56:AH65" si="24">IF(AF56=0," ",IF(AJ56&gt;20,(AF56-AA56)/AA56," "))</f>
        <v>-0.3968253968253968</v>
      </c>
      <c r="AI56" s="306">
        <f t="shared" ref="AI56:AI65" si="25">IF(AF56=0," ",(IF(AJ56&gt;20,(AF56-V56)/V56," ")))</f>
        <v>-0.28301886792452829</v>
      </c>
      <c r="AJ56" s="223">
        <f t="shared" ref="AJ56:AJ65" si="26">IF(AD56&gt;0,AVERAGE(AD56:AF56),"  ")</f>
        <v>38</v>
      </c>
    </row>
    <row r="57" spans="1:170" ht="13.8" x14ac:dyDescent="0.25">
      <c r="A57" s="357" t="s">
        <v>177</v>
      </c>
      <c r="B57" s="71">
        <v>117</v>
      </c>
      <c r="C57" s="71">
        <v>114</v>
      </c>
      <c r="D57" s="71">
        <v>129</v>
      </c>
      <c r="E57" s="71">
        <v>134</v>
      </c>
      <c r="F57" s="71">
        <v>153</v>
      </c>
      <c r="G57" s="71">
        <v>141</v>
      </c>
      <c r="H57" s="5">
        <v>181</v>
      </c>
      <c r="I57" s="5">
        <v>171</v>
      </c>
      <c r="J57" s="71">
        <v>168</v>
      </c>
      <c r="K57" s="71">
        <v>100</v>
      </c>
      <c r="L57" s="71">
        <v>29</v>
      </c>
      <c r="M57" s="71">
        <v>16</v>
      </c>
      <c r="N57" s="5">
        <v>10</v>
      </c>
      <c r="O57" s="239">
        <v>14</v>
      </c>
      <c r="P57" s="239">
        <v>26</v>
      </c>
      <c r="Q57" s="280">
        <v>26</v>
      </c>
      <c r="R57" s="280">
        <v>20</v>
      </c>
      <c r="S57" s="311">
        <f>23+1</f>
        <v>24</v>
      </c>
      <c r="T57" s="280">
        <v>18</v>
      </c>
      <c r="U57" s="502">
        <v>21</v>
      </c>
      <c r="V57" s="679">
        <v>10</v>
      </c>
      <c r="W57" s="249">
        <v>12</v>
      </c>
      <c r="X57" s="5">
        <v>1</v>
      </c>
      <c r="Y57" s="561"/>
      <c r="Z57" s="561"/>
      <c r="AA57" s="561"/>
      <c r="AB57" s="562"/>
      <c r="AC57" s="562"/>
      <c r="AD57" s="562"/>
      <c r="AE57" s="562"/>
      <c r="AF57" s="735"/>
      <c r="AG57" s="755" t="str">
        <f t="shared" si="23"/>
        <v xml:space="preserve"> </v>
      </c>
      <c r="AH57" s="206" t="str">
        <f t="shared" si="24"/>
        <v xml:space="preserve"> </v>
      </c>
      <c r="AI57" s="207" t="str">
        <f t="shared" si="25"/>
        <v xml:space="preserve"> </v>
      </c>
      <c r="AJ57" s="120" t="str">
        <f t="shared" si="26"/>
        <v xml:space="preserve">  </v>
      </c>
    </row>
    <row r="58" spans="1:170" ht="12" x14ac:dyDescent="0.25">
      <c r="A58" s="370" t="s">
        <v>148</v>
      </c>
      <c r="B58" s="71"/>
      <c r="C58" s="71"/>
      <c r="D58" s="71"/>
      <c r="E58" s="71"/>
      <c r="F58" s="71"/>
      <c r="G58" s="71"/>
      <c r="H58" s="5"/>
      <c r="I58" s="5"/>
      <c r="J58" s="71"/>
      <c r="K58" s="71"/>
      <c r="L58" s="71"/>
      <c r="M58" s="71"/>
      <c r="N58" s="5"/>
      <c r="O58" s="239"/>
      <c r="P58" s="239"/>
      <c r="Q58" s="280"/>
      <c r="R58" s="280">
        <v>0</v>
      </c>
      <c r="S58" s="311"/>
      <c r="T58" s="280">
        <v>0</v>
      </c>
      <c r="U58" s="484"/>
      <c r="V58" s="679">
        <v>2</v>
      </c>
      <c r="W58" s="249">
        <v>3</v>
      </c>
      <c r="X58" s="5">
        <v>8</v>
      </c>
      <c r="Y58" s="5">
        <v>10</v>
      </c>
      <c r="Z58" s="72">
        <v>13</v>
      </c>
      <c r="AA58" s="72">
        <v>8</v>
      </c>
      <c r="AB58" s="72">
        <v>5</v>
      </c>
      <c r="AC58" s="72">
        <v>5</v>
      </c>
      <c r="AD58" s="72">
        <v>4</v>
      </c>
      <c r="AE58" s="72">
        <v>7</v>
      </c>
      <c r="AF58" s="80">
        <v>11</v>
      </c>
      <c r="AG58" s="755" t="str">
        <f t="shared" si="23"/>
        <v xml:space="preserve"> </v>
      </c>
      <c r="AH58" s="206" t="str">
        <f t="shared" si="24"/>
        <v xml:space="preserve"> </v>
      </c>
      <c r="AI58" s="207" t="str">
        <f t="shared" si="25"/>
        <v xml:space="preserve"> </v>
      </c>
      <c r="AJ58" s="120">
        <f t="shared" si="26"/>
        <v>7.333333333333333</v>
      </c>
    </row>
    <row r="59" spans="1:170" ht="12" x14ac:dyDescent="0.25">
      <c r="A59" s="358" t="s">
        <v>6</v>
      </c>
      <c r="B59" s="98">
        <v>8</v>
      </c>
      <c r="C59" s="98">
        <v>14</v>
      </c>
      <c r="D59" s="98">
        <v>6</v>
      </c>
      <c r="E59" s="98">
        <v>14</v>
      </c>
      <c r="F59" s="98">
        <v>1</v>
      </c>
      <c r="G59" s="98">
        <v>6</v>
      </c>
      <c r="H59" s="99">
        <v>11</v>
      </c>
      <c r="I59" s="99">
        <v>2</v>
      </c>
      <c r="J59" s="98">
        <v>2</v>
      </c>
      <c r="K59" s="98">
        <v>3</v>
      </c>
      <c r="L59" s="98">
        <v>8</v>
      </c>
      <c r="M59" s="98">
        <v>8</v>
      </c>
      <c r="N59" s="99">
        <v>5</v>
      </c>
      <c r="O59" s="245">
        <v>10</v>
      </c>
      <c r="P59" s="245">
        <v>6</v>
      </c>
      <c r="Q59" s="287">
        <v>16</v>
      </c>
      <c r="R59" s="287">
        <f>10+2</f>
        <v>12</v>
      </c>
      <c r="S59" s="315">
        <v>17</v>
      </c>
      <c r="T59" s="287">
        <v>13</v>
      </c>
      <c r="U59" s="508">
        <v>15</v>
      </c>
      <c r="V59" s="681">
        <v>20</v>
      </c>
      <c r="W59" s="254">
        <f>11+3</f>
        <v>14</v>
      </c>
      <c r="X59" s="99">
        <v>18</v>
      </c>
      <c r="Y59" s="99">
        <v>26</v>
      </c>
      <c r="Z59" s="84">
        <v>10</v>
      </c>
      <c r="AA59" s="84">
        <v>22</v>
      </c>
      <c r="AB59" s="84">
        <v>18</v>
      </c>
      <c r="AC59" s="84">
        <v>8</v>
      </c>
      <c r="AD59" s="84">
        <v>14</v>
      </c>
      <c r="AE59" s="84">
        <v>8</v>
      </c>
      <c r="AF59" s="729">
        <v>7</v>
      </c>
      <c r="AG59" s="756" t="str">
        <f t="shared" si="23"/>
        <v xml:space="preserve"> </v>
      </c>
      <c r="AH59" s="203" t="str">
        <f t="shared" si="24"/>
        <v xml:space="preserve"> </v>
      </c>
      <c r="AI59" s="204" t="str">
        <f t="shared" si="25"/>
        <v xml:space="preserve"> </v>
      </c>
      <c r="AJ59" s="221">
        <f t="shared" si="26"/>
        <v>9.6666666666666661</v>
      </c>
    </row>
    <row r="60" spans="1:170" ht="12" x14ac:dyDescent="0.25">
      <c r="A60" s="357" t="s">
        <v>11</v>
      </c>
      <c r="B60" s="71"/>
      <c r="C60" s="71"/>
      <c r="D60" s="71"/>
      <c r="E60" s="71"/>
      <c r="F60" s="71"/>
      <c r="G60" s="71"/>
      <c r="H60" s="5"/>
      <c r="I60" s="5"/>
      <c r="J60" s="71">
        <v>23</v>
      </c>
      <c r="K60" s="71">
        <v>28</v>
      </c>
      <c r="L60" s="71">
        <v>42</v>
      </c>
      <c r="M60" s="71">
        <v>59</v>
      </c>
      <c r="N60" s="5">
        <v>66</v>
      </c>
      <c r="O60" s="239">
        <v>61</v>
      </c>
      <c r="P60" s="239">
        <v>90</v>
      </c>
      <c r="Q60" s="280">
        <v>90</v>
      </c>
      <c r="R60" s="280">
        <f>48+7</f>
        <v>55</v>
      </c>
      <c r="S60" s="311">
        <f>58+5</f>
        <v>63</v>
      </c>
      <c r="T60" s="280">
        <v>43</v>
      </c>
      <c r="U60" s="502">
        <f>48+6</f>
        <v>54</v>
      </c>
      <c r="V60" s="679">
        <v>46</v>
      </c>
      <c r="W60" s="249">
        <f>49+3</f>
        <v>52</v>
      </c>
      <c r="X60" s="5">
        <v>75</v>
      </c>
      <c r="Y60" s="5">
        <v>56</v>
      </c>
      <c r="Z60" s="72">
        <v>66</v>
      </c>
      <c r="AA60" s="72">
        <v>56</v>
      </c>
      <c r="AB60" s="72">
        <v>64</v>
      </c>
      <c r="AC60" s="72">
        <v>55</v>
      </c>
      <c r="AD60" s="72">
        <v>44</v>
      </c>
      <c r="AE60" s="72">
        <v>48</v>
      </c>
      <c r="AF60" s="80">
        <f>42+2</f>
        <v>44</v>
      </c>
      <c r="AG60" s="755">
        <f t="shared" si="23"/>
        <v>-8.3333333333333329E-2</v>
      </c>
      <c r="AH60" s="206">
        <f t="shared" si="24"/>
        <v>-0.21428571428571427</v>
      </c>
      <c r="AI60" s="207">
        <f t="shared" si="25"/>
        <v>-4.3478260869565216E-2</v>
      </c>
      <c r="AJ60" s="120">
        <f t="shared" si="26"/>
        <v>45.333333333333336</v>
      </c>
    </row>
    <row r="61" spans="1:170" ht="12" x14ac:dyDescent="0.25">
      <c r="A61" s="359" t="s">
        <v>61</v>
      </c>
      <c r="B61" s="74">
        <v>22</v>
      </c>
      <c r="C61" s="74">
        <v>16</v>
      </c>
      <c r="D61" s="74">
        <v>22</v>
      </c>
      <c r="E61" s="74">
        <v>38</v>
      </c>
      <c r="F61" s="74">
        <v>36</v>
      </c>
      <c r="G61" s="74">
        <v>33</v>
      </c>
      <c r="H61" s="7">
        <v>56</v>
      </c>
      <c r="I61" s="7">
        <v>69</v>
      </c>
      <c r="J61" s="74">
        <v>65</v>
      </c>
      <c r="K61" s="74">
        <v>36</v>
      </c>
      <c r="L61" s="74">
        <v>38</v>
      </c>
      <c r="M61" s="74">
        <v>25</v>
      </c>
      <c r="N61" s="7">
        <v>25</v>
      </c>
      <c r="O61" s="240">
        <v>29</v>
      </c>
      <c r="P61" s="240">
        <v>21</v>
      </c>
      <c r="Q61" s="281">
        <v>27</v>
      </c>
      <c r="R61" s="281">
        <f>32+3</f>
        <v>35</v>
      </c>
      <c r="S61" s="312">
        <f>49+5</f>
        <v>54</v>
      </c>
      <c r="T61" s="281">
        <v>64</v>
      </c>
      <c r="U61" s="503">
        <f>56+8</f>
        <v>64</v>
      </c>
      <c r="V61" s="682">
        <v>67</v>
      </c>
      <c r="W61" s="250">
        <f>38+16</f>
        <v>54</v>
      </c>
      <c r="X61" s="7">
        <v>59</v>
      </c>
      <c r="Y61" s="7">
        <v>56</v>
      </c>
      <c r="Z61" s="75">
        <v>68</v>
      </c>
      <c r="AA61" s="75">
        <v>51</v>
      </c>
      <c r="AB61" s="75">
        <v>66</v>
      </c>
      <c r="AC61" s="75">
        <v>48</v>
      </c>
      <c r="AD61" s="75">
        <v>55</v>
      </c>
      <c r="AE61" s="75">
        <v>57</v>
      </c>
      <c r="AF61" s="730">
        <f>36+3</f>
        <v>39</v>
      </c>
      <c r="AG61" s="757">
        <f t="shared" si="23"/>
        <v>-0.31578947368421051</v>
      </c>
      <c r="AH61" s="209">
        <f t="shared" si="24"/>
        <v>-0.23529411764705882</v>
      </c>
      <c r="AI61" s="210">
        <f t="shared" si="25"/>
        <v>-0.41791044776119401</v>
      </c>
      <c r="AJ61" s="222">
        <f t="shared" si="26"/>
        <v>50.333333333333336</v>
      </c>
    </row>
    <row r="62" spans="1:170" ht="12" x14ac:dyDescent="0.25">
      <c r="A62" s="361" t="s">
        <v>129</v>
      </c>
      <c r="B62" s="71"/>
      <c r="C62" s="71"/>
      <c r="D62" s="71"/>
      <c r="E62" s="71"/>
      <c r="F62" s="71"/>
      <c r="G62" s="71"/>
      <c r="H62" s="5"/>
      <c r="I62" s="5"/>
      <c r="J62" s="71"/>
      <c r="K62" s="71"/>
      <c r="L62" s="71"/>
      <c r="M62" s="71"/>
      <c r="N62" s="5"/>
      <c r="O62" s="239"/>
      <c r="P62" s="239"/>
      <c r="Q62" s="280"/>
      <c r="R62" s="280">
        <v>0</v>
      </c>
      <c r="S62" s="311"/>
      <c r="T62" s="280">
        <v>0</v>
      </c>
      <c r="U62" s="484"/>
      <c r="V62" s="693"/>
      <c r="W62" s="249">
        <v>2</v>
      </c>
      <c r="X62" s="5">
        <v>5</v>
      </c>
      <c r="Y62" s="5">
        <v>1</v>
      </c>
      <c r="Z62" s="72">
        <v>3</v>
      </c>
      <c r="AA62" s="72">
        <v>3</v>
      </c>
      <c r="AB62" s="72">
        <v>2</v>
      </c>
      <c r="AC62" s="72">
        <v>2</v>
      </c>
      <c r="AD62" s="72">
        <v>9</v>
      </c>
      <c r="AE62" s="72">
        <v>11</v>
      </c>
      <c r="AF62" s="80">
        <v>11</v>
      </c>
      <c r="AG62" s="755" t="str">
        <f t="shared" si="23"/>
        <v xml:space="preserve"> </v>
      </c>
      <c r="AH62" s="206" t="str">
        <f t="shared" si="24"/>
        <v xml:space="preserve"> </v>
      </c>
      <c r="AI62" s="207" t="str">
        <f t="shared" si="25"/>
        <v xml:space="preserve"> </v>
      </c>
      <c r="AJ62" s="120">
        <f t="shared" si="26"/>
        <v>10.333333333333334</v>
      </c>
    </row>
    <row r="63" spans="1:170" ht="12" x14ac:dyDescent="0.25">
      <c r="A63" s="357" t="s">
        <v>16</v>
      </c>
      <c r="B63" s="71"/>
      <c r="C63" s="71"/>
      <c r="D63" s="71"/>
      <c r="E63" s="71"/>
      <c r="F63" s="71"/>
      <c r="G63" s="71"/>
      <c r="H63" s="5"/>
      <c r="I63" s="5"/>
      <c r="J63" s="71">
        <v>1</v>
      </c>
      <c r="K63" s="71">
        <v>20</v>
      </c>
      <c r="L63" s="71">
        <v>54</v>
      </c>
      <c r="M63" s="71">
        <v>91</v>
      </c>
      <c r="N63" s="5">
        <v>95</v>
      </c>
      <c r="O63" s="239">
        <v>91</v>
      </c>
      <c r="P63" s="239">
        <v>102</v>
      </c>
      <c r="Q63" s="280">
        <v>103</v>
      </c>
      <c r="R63" s="280">
        <f>101+4</f>
        <v>105</v>
      </c>
      <c r="S63" s="311">
        <f>95+3</f>
        <v>98</v>
      </c>
      <c r="T63" s="280">
        <v>89</v>
      </c>
      <c r="U63" s="502">
        <f>95+4</f>
        <v>99</v>
      </c>
      <c r="V63" s="679">
        <v>108</v>
      </c>
      <c r="W63" s="249">
        <v>109</v>
      </c>
      <c r="X63" s="5">
        <v>98</v>
      </c>
      <c r="Y63" s="5">
        <v>94</v>
      </c>
      <c r="Z63" s="72">
        <v>101</v>
      </c>
      <c r="AA63" s="72">
        <v>96</v>
      </c>
      <c r="AB63" s="72">
        <v>94</v>
      </c>
      <c r="AC63" s="72">
        <v>74</v>
      </c>
      <c r="AD63" s="72">
        <v>92</v>
      </c>
      <c r="AE63" s="72">
        <v>97</v>
      </c>
      <c r="AF63" s="80">
        <f>72+1</f>
        <v>73</v>
      </c>
      <c r="AG63" s="755">
        <f t="shared" si="23"/>
        <v>-0.24742268041237114</v>
      </c>
      <c r="AH63" s="206">
        <f t="shared" si="24"/>
        <v>-0.23958333333333334</v>
      </c>
      <c r="AI63" s="207">
        <f t="shared" si="25"/>
        <v>-0.32407407407407407</v>
      </c>
      <c r="AJ63" s="120">
        <f t="shared" si="26"/>
        <v>87.333333333333329</v>
      </c>
    </row>
    <row r="64" spans="1:170" ht="12" x14ac:dyDescent="0.25">
      <c r="A64" s="480" t="s">
        <v>17</v>
      </c>
      <c r="B64" s="105"/>
      <c r="C64" s="105"/>
      <c r="D64" s="105"/>
      <c r="E64" s="105"/>
      <c r="F64" s="105"/>
      <c r="G64" s="105"/>
      <c r="H64" s="90"/>
      <c r="I64" s="90"/>
      <c r="J64" s="105">
        <v>11</v>
      </c>
      <c r="K64" s="105">
        <v>37</v>
      </c>
      <c r="L64" s="105">
        <v>61</v>
      </c>
      <c r="M64" s="105">
        <v>54</v>
      </c>
      <c r="N64" s="90">
        <v>68</v>
      </c>
      <c r="O64" s="247">
        <v>100</v>
      </c>
      <c r="P64" s="247">
        <v>93</v>
      </c>
      <c r="Q64" s="289">
        <v>72</v>
      </c>
      <c r="R64" s="289">
        <f>47+3</f>
        <v>50</v>
      </c>
      <c r="S64" s="316">
        <f>51+2</f>
        <v>53</v>
      </c>
      <c r="T64" s="289">
        <v>57</v>
      </c>
      <c r="U64" s="517">
        <f>45+3</f>
        <v>48</v>
      </c>
      <c r="V64" s="694">
        <v>70</v>
      </c>
      <c r="W64" s="255">
        <v>72</v>
      </c>
      <c r="X64" s="90">
        <v>78</v>
      </c>
      <c r="Y64" s="90">
        <v>81</v>
      </c>
      <c r="Z64" s="79">
        <v>79</v>
      </c>
      <c r="AA64" s="79">
        <v>85</v>
      </c>
      <c r="AB64" s="79">
        <v>107</v>
      </c>
      <c r="AC64" s="79">
        <v>67</v>
      </c>
      <c r="AD64" s="79">
        <v>86</v>
      </c>
      <c r="AE64" s="79">
        <v>60</v>
      </c>
      <c r="AF64" s="733">
        <f>63+1</f>
        <v>64</v>
      </c>
      <c r="AG64" s="764">
        <f t="shared" si="23"/>
        <v>6.6666666666666666E-2</v>
      </c>
      <c r="AH64" s="474">
        <f t="shared" si="24"/>
        <v>-0.24705882352941178</v>
      </c>
      <c r="AI64" s="475">
        <f t="shared" si="25"/>
        <v>-8.5714285714285715E-2</v>
      </c>
      <c r="AJ64" s="469">
        <f t="shared" si="26"/>
        <v>70</v>
      </c>
    </row>
    <row r="65" spans="1:179" s="16" customFormat="1" ht="12.6" thickBot="1" x14ac:dyDescent="0.3">
      <c r="A65" s="371" t="s">
        <v>77</v>
      </c>
      <c r="B65" s="187">
        <f t="shared" ref="B65:X65" si="27">SUM(B56:B64)</f>
        <v>209</v>
      </c>
      <c r="C65" s="187">
        <f t="shared" si="27"/>
        <v>193</v>
      </c>
      <c r="D65" s="187">
        <f t="shared" si="27"/>
        <v>212</v>
      </c>
      <c r="E65" s="187">
        <f t="shared" si="27"/>
        <v>246</v>
      </c>
      <c r="F65" s="187">
        <f t="shared" si="27"/>
        <v>232</v>
      </c>
      <c r="G65" s="187">
        <f t="shared" si="27"/>
        <v>206</v>
      </c>
      <c r="H65" s="187">
        <f t="shared" si="27"/>
        <v>294</v>
      </c>
      <c r="I65" s="187">
        <f t="shared" si="27"/>
        <v>272</v>
      </c>
      <c r="J65" s="187">
        <f t="shared" si="27"/>
        <v>295</v>
      </c>
      <c r="K65" s="187">
        <f t="shared" si="27"/>
        <v>256</v>
      </c>
      <c r="L65" s="187">
        <f t="shared" si="27"/>
        <v>266</v>
      </c>
      <c r="M65" s="187">
        <f t="shared" si="27"/>
        <v>293</v>
      </c>
      <c r="N65" s="187">
        <f t="shared" si="27"/>
        <v>307</v>
      </c>
      <c r="O65" s="256">
        <f t="shared" si="27"/>
        <v>335</v>
      </c>
      <c r="P65" s="256">
        <f t="shared" si="27"/>
        <v>399</v>
      </c>
      <c r="Q65" s="291">
        <f t="shared" si="27"/>
        <v>394</v>
      </c>
      <c r="R65" s="291">
        <f>SUM(R56:R64)</f>
        <v>330</v>
      </c>
      <c r="S65" s="291">
        <f t="shared" si="27"/>
        <v>356</v>
      </c>
      <c r="T65" s="291">
        <f t="shared" si="27"/>
        <v>328</v>
      </c>
      <c r="U65" s="518">
        <f t="shared" si="27"/>
        <v>358</v>
      </c>
      <c r="V65" s="695">
        <f t="shared" si="27"/>
        <v>376</v>
      </c>
      <c r="W65" s="188">
        <f t="shared" si="27"/>
        <v>387</v>
      </c>
      <c r="X65" s="187">
        <f t="shared" si="27"/>
        <v>423</v>
      </c>
      <c r="Y65" s="187">
        <f t="shared" ref="Y65:AE65" si="28">SUM(Y56:Y64)</f>
        <v>384</v>
      </c>
      <c r="Z65" s="187">
        <f t="shared" si="28"/>
        <v>380</v>
      </c>
      <c r="AA65" s="187">
        <f t="shared" si="28"/>
        <v>384</v>
      </c>
      <c r="AB65" s="187">
        <f t="shared" si="28"/>
        <v>402</v>
      </c>
      <c r="AC65" s="187">
        <f t="shared" si="28"/>
        <v>296</v>
      </c>
      <c r="AD65" s="187">
        <f t="shared" ref="AD65" si="29">SUM(AD56:AD64)</f>
        <v>345</v>
      </c>
      <c r="AE65" s="187">
        <f t="shared" si="28"/>
        <v>323</v>
      </c>
      <c r="AF65" s="256">
        <f>SUM(AF56:AF64)</f>
        <v>287</v>
      </c>
      <c r="AG65" s="766">
        <f t="shared" si="23"/>
        <v>-0.11145510835913312</v>
      </c>
      <c r="AH65" s="189">
        <f t="shared" si="24"/>
        <v>-0.25260416666666669</v>
      </c>
      <c r="AI65" s="190">
        <f t="shared" si="25"/>
        <v>-0.23670212765957446</v>
      </c>
      <c r="AJ65" s="191">
        <f t="shared" si="26"/>
        <v>318.33333333333331</v>
      </c>
      <c r="AK65" s="85"/>
      <c r="AL65" s="87"/>
      <c r="AM65" s="87"/>
      <c r="AN65" s="87"/>
      <c r="AO65" s="87"/>
      <c r="AP65" s="87"/>
      <c r="AQ65" s="87"/>
      <c r="AR65" s="87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</row>
    <row r="66" spans="1:179" ht="12.6" thickTop="1" x14ac:dyDescent="0.25">
      <c r="A66" s="372" t="s">
        <v>78</v>
      </c>
      <c r="B66" s="181"/>
      <c r="C66" s="182"/>
      <c r="D66" s="182"/>
      <c r="E66" s="181"/>
      <c r="F66" s="183"/>
      <c r="G66" s="183"/>
      <c r="H66" s="183"/>
      <c r="I66" s="181"/>
      <c r="J66" s="181"/>
      <c r="K66" s="181"/>
      <c r="L66" s="181"/>
      <c r="M66" s="181"/>
      <c r="N66" s="181"/>
      <c r="O66" s="184"/>
      <c r="P66" s="259"/>
      <c r="Q66" s="184"/>
      <c r="R66" s="184"/>
      <c r="S66" s="184"/>
      <c r="T66" s="184"/>
      <c r="U66" s="184"/>
      <c r="V66" s="184"/>
      <c r="W66" s="184"/>
      <c r="X66" s="185"/>
      <c r="Y66" s="185"/>
      <c r="Z66" s="185"/>
      <c r="AA66" s="185"/>
      <c r="AB66" s="185"/>
      <c r="AC66" s="185"/>
      <c r="AD66" s="568"/>
      <c r="AE66" s="185"/>
      <c r="AF66" s="185"/>
      <c r="AG66" s="185"/>
      <c r="AH66" s="186"/>
      <c r="AI66" s="186"/>
      <c r="AJ66" s="196"/>
      <c r="AK66" s="86"/>
      <c r="AL66" s="91"/>
      <c r="AM66" s="91"/>
      <c r="AN66" s="91"/>
      <c r="AO66" s="91"/>
      <c r="AP66" s="91"/>
      <c r="AQ66" s="91"/>
      <c r="AR66" s="91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  <c r="DK66" s="29"/>
      <c r="DL66" s="29"/>
      <c r="DM66" s="29"/>
      <c r="DN66" s="29"/>
      <c r="DO66" s="29"/>
      <c r="DP66" s="29"/>
      <c r="DQ66" s="29"/>
      <c r="DR66" s="29"/>
      <c r="DS66" s="29"/>
      <c r="DT66" s="29"/>
      <c r="DU66" s="29"/>
      <c r="DV66" s="29"/>
      <c r="DW66" s="29"/>
      <c r="DX66" s="29"/>
      <c r="DY66" s="29"/>
      <c r="DZ66" s="29"/>
      <c r="EA66" s="29"/>
      <c r="EB66" s="29"/>
      <c r="EC66" s="29"/>
      <c r="ED66" s="29"/>
      <c r="EE66" s="29"/>
      <c r="EF66" s="29"/>
      <c r="EG66" s="29"/>
      <c r="EH66" s="29"/>
      <c r="EI66" s="29"/>
      <c r="EJ66" s="29"/>
      <c r="EK66" s="29"/>
      <c r="EL66" s="29"/>
      <c r="EM66" s="29"/>
      <c r="EN66" s="29"/>
      <c r="EO66" s="29"/>
      <c r="EP66" s="29"/>
      <c r="EQ66" s="29"/>
      <c r="ER66" s="29"/>
      <c r="ES66" s="29"/>
      <c r="ET66" s="29"/>
      <c r="EU66" s="29"/>
      <c r="EV66" s="29"/>
      <c r="EW66" s="29"/>
      <c r="EX66" s="29"/>
      <c r="EY66" s="29"/>
      <c r="EZ66" s="29"/>
      <c r="FA66" s="29"/>
      <c r="FB66" s="29"/>
      <c r="FC66" s="29"/>
      <c r="FD66" s="29"/>
      <c r="FE66" s="29"/>
      <c r="FF66" s="29"/>
      <c r="FG66" s="29"/>
      <c r="FH66" s="29"/>
      <c r="FI66" s="29"/>
      <c r="FJ66" s="29"/>
      <c r="FK66" s="29"/>
      <c r="FL66" s="29"/>
      <c r="FM66" s="29"/>
      <c r="FN66" s="29"/>
    </row>
    <row r="67" spans="1:179" ht="12" x14ac:dyDescent="0.25">
      <c r="A67" s="471" t="s">
        <v>7</v>
      </c>
      <c r="B67" s="96"/>
      <c r="C67" s="96">
        <v>0</v>
      </c>
      <c r="D67" s="96"/>
      <c r="E67" s="96">
        <v>0</v>
      </c>
      <c r="F67" s="96">
        <v>0</v>
      </c>
      <c r="G67" s="96">
        <v>0</v>
      </c>
      <c r="H67" s="89">
        <v>0</v>
      </c>
      <c r="I67" s="89">
        <v>0</v>
      </c>
      <c r="J67" s="96">
        <v>0</v>
      </c>
      <c r="K67" s="96">
        <v>0</v>
      </c>
      <c r="L67" s="96">
        <v>12</v>
      </c>
      <c r="M67" s="96">
        <v>22</v>
      </c>
      <c r="N67" s="89">
        <v>28</v>
      </c>
      <c r="O67" s="238">
        <v>34</v>
      </c>
      <c r="P67" s="238">
        <v>43</v>
      </c>
      <c r="Q67" s="286">
        <v>36</v>
      </c>
      <c r="R67" s="286">
        <f>43+2</f>
        <v>45</v>
      </c>
      <c r="S67" s="310">
        <v>39</v>
      </c>
      <c r="T67" s="286">
        <v>56</v>
      </c>
      <c r="U67" s="501">
        <f>70+1</f>
        <v>71</v>
      </c>
      <c r="V67" s="678">
        <v>42</v>
      </c>
      <c r="W67" s="253">
        <f>55+2</f>
        <v>57</v>
      </c>
      <c r="X67" s="89">
        <v>59</v>
      </c>
      <c r="Y67" s="89">
        <v>48</v>
      </c>
      <c r="Z67" s="88">
        <v>39</v>
      </c>
      <c r="AA67" s="88">
        <v>48</v>
      </c>
      <c r="AB67" s="88">
        <v>58</v>
      </c>
      <c r="AC67" s="88">
        <v>49</v>
      </c>
      <c r="AD67" s="88">
        <v>56</v>
      </c>
      <c r="AE67" s="88">
        <v>36</v>
      </c>
      <c r="AF67" s="734">
        <v>53</v>
      </c>
      <c r="AG67" s="767">
        <f t="shared" ref="AG67:AG74" si="30">IF(AF67=0," ",IF(AJ67&gt;20,(AF67-AE67)/AE67," "))</f>
        <v>0.47222222222222221</v>
      </c>
      <c r="AH67" s="211">
        <f t="shared" ref="AH67:AH74" si="31">IF(AF67=0," ",IF(AJ67&gt;20,(AF67-AA67)/AA67," "))</f>
        <v>0.10416666666666667</v>
      </c>
      <c r="AI67" s="212">
        <f t="shared" ref="AI67:AI74" si="32">IF(AF67=0," ",(IF(AJ67&gt;20,(AF67-V67)/V67," ")))</f>
        <v>0.26190476190476192</v>
      </c>
      <c r="AJ67" s="223">
        <f t="shared" ref="AJ67:AJ74" si="33">IF(AD67&gt;0,AVERAGE(AD67:AF67),"  ")</f>
        <v>48.333333333333336</v>
      </c>
    </row>
    <row r="68" spans="1:179" ht="12" x14ac:dyDescent="0.25">
      <c r="A68" s="357" t="s">
        <v>8</v>
      </c>
      <c r="B68" s="71">
        <v>163</v>
      </c>
      <c r="C68" s="71">
        <v>161</v>
      </c>
      <c r="D68" s="71">
        <v>185</v>
      </c>
      <c r="E68" s="71">
        <v>160</v>
      </c>
      <c r="F68" s="71">
        <v>167</v>
      </c>
      <c r="G68" s="71">
        <v>137</v>
      </c>
      <c r="H68" s="5">
        <v>168</v>
      </c>
      <c r="I68" s="5">
        <v>169</v>
      </c>
      <c r="J68" s="71">
        <v>194</v>
      </c>
      <c r="K68" s="71">
        <v>145</v>
      </c>
      <c r="L68" s="71">
        <v>108</v>
      </c>
      <c r="M68" s="71">
        <v>129</v>
      </c>
      <c r="N68" s="5">
        <v>113</v>
      </c>
      <c r="O68" s="239">
        <v>98</v>
      </c>
      <c r="P68" s="239">
        <v>97</v>
      </c>
      <c r="Q68" s="280">
        <v>93</v>
      </c>
      <c r="R68" s="280">
        <f>96+4</f>
        <v>100</v>
      </c>
      <c r="S68" s="311">
        <f>113+3</f>
        <v>116</v>
      </c>
      <c r="T68" s="280">
        <v>117</v>
      </c>
      <c r="U68" s="502">
        <f>115+9</f>
        <v>124</v>
      </c>
      <c r="V68" s="679">
        <v>102</v>
      </c>
      <c r="W68" s="249">
        <v>122</v>
      </c>
      <c r="X68" s="5">
        <v>113</v>
      </c>
      <c r="Y68" s="5">
        <v>81</v>
      </c>
      <c r="Z68" s="72">
        <v>90</v>
      </c>
      <c r="AA68" s="72">
        <v>77</v>
      </c>
      <c r="AB68" s="72">
        <v>49</v>
      </c>
      <c r="AC68" s="72">
        <v>76</v>
      </c>
      <c r="AD68" s="72">
        <v>78</v>
      </c>
      <c r="AE68" s="72">
        <v>67</v>
      </c>
      <c r="AF68" s="80">
        <f>65+1</f>
        <v>66</v>
      </c>
      <c r="AG68" s="755">
        <f t="shared" si="30"/>
        <v>-1.4925373134328358E-2</v>
      </c>
      <c r="AH68" s="206">
        <f t="shared" si="31"/>
        <v>-0.14285714285714285</v>
      </c>
      <c r="AI68" s="207">
        <f t="shared" si="32"/>
        <v>-0.35294117647058826</v>
      </c>
      <c r="AJ68" s="120">
        <f t="shared" si="33"/>
        <v>70.333333333333329</v>
      </c>
    </row>
    <row r="69" spans="1:179" ht="12" x14ac:dyDescent="0.25">
      <c r="A69" s="476" t="s">
        <v>141</v>
      </c>
      <c r="B69" s="74"/>
      <c r="C69" s="74"/>
      <c r="D69" s="74"/>
      <c r="E69" s="74"/>
      <c r="F69" s="74"/>
      <c r="G69" s="74"/>
      <c r="H69" s="7"/>
      <c r="I69" s="7"/>
      <c r="J69" s="74"/>
      <c r="K69" s="74"/>
      <c r="L69" s="74"/>
      <c r="M69" s="74"/>
      <c r="N69" s="7"/>
      <c r="O69" s="240"/>
      <c r="P69" s="240"/>
      <c r="Q69" s="281"/>
      <c r="R69" s="281"/>
      <c r="S69" s="312"/>
      <c r="T69" s="281"/>
      <c r="U69" s="503">
        <v>0</v>
      </c>
      <c r="V69" s="696"/>
      <c r="W69" s="598"/>
      <c r="X69" s="598"/>
      <c r="Y69" s="598"/>
      <c r="Z69" s="598"/>
      <c r="AA69" s="598"/>
      <c r="AB69" s="598"/>
      <c r="AC69" s="598"/>
      <c r="AD69" s="598"/>
      <c r="AE69" s="75">
        <v>3</v>
      </c>
      <c r="AF69" s="730">
        <v>11</v>
      </c>
      <c r="AG69" s="757">
        <f t="shared" si="30"/>
        <v>2.6666666666666665</v>
      </c>
      <c r="AH69" s="209"/>
      <c r="AI69" s="210"/>
      <c r="AJ69" s="222" t="str">
        <f t="shared" si="33"/>
        <v xml:space="preserve">  </v>
      </c>
    </row>
    <row r="70" spans="1:179" ht="13.8" x14ac:dyDescent="0.25">
      <c r="A70" s="357" t="s">
        <v>166</v>
      </c>
      <c r="B70" s="71">
        <v>0</v>
      </c>
      <c r="C70" s="71">
        <v>0</v>
      </c>
      <c r="D70" s="71"/>
      <c r="E70" s="71">
        <v>0</v>
      </c>
      <c r="F70" s="71">
        <v>0</v>
      </c>
      <c r="G70" s="71">
        <v>0</v>
      </c>
      <c r="H70" s="5">
        <v>0</v>
      </c>
      <c r="I70" s="5">
        <v>0</v>
      </c>
      <c r="J70" s="71">
        <v>0</v>
      </c>
      <c r="K70" s="71">
        <v>1</v>
      </c>
      <c r="L70" s="71">
        <v>7</v>
      </c>
      <c r="M70" s="71">
        <v>4</v>
      </c>
      <c r="N70" s="5">
        <v>2</v>
      </c>
      <c r="O70" s="239">
        <v>3</v>
      </c>
      <c r="P70" s="239">
        <v>5</v>
      </c>
      <c r="Q70" s="280">
        <v>4</v>
      </c>
      <c r="R70" s="280">
        <f>14+1</f>
        <v>15</v>
      </c>
      <c r="S70" s="311">
        <v>19</v>
      </c>
      <c r="T70" s="280">
        <v>22</v>
      </c>
      <c r="U70" s="502">
        <f>14+1</f>
        <v>15</v>
      </c>
      <c r="V70" s="679">
        <v>26</v>
      </c>
      <c r="W70" s="249">
        <f>26+1</f>
        <v>27</v>
      </c>
      <c r="X70" s="5">
        <v>12</v>
      </c>
      <c r="Y70" s="5">
        <v>1</v>
      </c>
      <c r="Z70" s="599"/>
      <c r="AA70" s="599"/>
      <c r="AB70" s="599"/>
      <c r="AC70" s="599"/>
      <c r="AD70" s="599"/>
      <c r="AE70" s="599"/>
      <c r="AF70" s="607"/>
      <c r="AG70" s="755" t="str">
        <f t="shared" si="30"/>
        <v xml:space="preserve"> </v>
      </c>
      <c r="AH70" s="206" t="str">
        <f t="shared" si="31"/>
        <v xml:space="preserve"> </v>
      </c>
      <c r="AI70" s="207" t="str">
        <f t="shared" si="32"/>
        <v xml:space="preserve"> </v>
      </c>
      <c r="AJ70" s="120" t="str">
        <f t="shared" si="33"/>
        <v xml:space="preserve">  </v>
      </c>
    </row>
    <row r="71" spans="1:179" ht="12" x14ac:dyDescent="0.25">
      <c r="A71" s="357" t="s">
        <v>130</v>
      </c>
      <c r="B71" s="71"/>
      <c r="C71" s="71"/>
      <c r="D71" s="71"/>
      <c r="E71" s="71"/>
      <c r="F71" s="71"/>
      <c r="G71" s="71"/>
      <c r="H71" s="5"/>
      <c r="I71" s="5"/>
      <c r="J71" s="71"/>
      <c r="K71" s="71"/>
      <c r="L71" s="71"/>
      <c r="M71" s="71"/>
      <c r="N71" s="5"/>
      <c r="O71" s="239"/>
      <c r="P71" s="239"/>
      <c r="Q71" s="280"/>
      <c r="R71" s="280">
        <v>0</v>
      </c>
      <c r="S71" s="311"/>
      <c r="T71" s="280">
        <v>0</v>
      </c>
      <c r="U71" s="484"/>
      <c r="V71" s="697"/>
      <c r="W71" s="249">
        <v>0</v>
      </c>
      <c r="X71" s="5">
        <v>0</v>
      </c>
      <c r="Y71" s="5">
        <v>0</v>
      </c>
      <c r="Z71" s="605"/>
      <c r="AA71" s="72">
        <v>1</v>
      </c>
      <c r="AB71" s="72">
        <v>0</v>
      </c>
      <c r="AC71" s="72">
        <v>5</v>
      </c>
      <c r="AD71" s="72">
        <v>7</v>
      </c>
      <c r="AE71" s="72">
        <v>13</v>
      </c>
      <c r="AF71" s="80">
        <v>7</v>
      </c>
      <c r="AG71" s="755" t="str">
        <f t="shared" si="30"/>
        <v xml:space="preserve"> </v>
      </c>
      <c r="AH71" s="206" t="str">
        <f t="shared" si="31"/>
        <v xml:space="preserve"> </v>
      </c>
      <c r="AI71" s="207" t="str">
        <f t="shared" si="32"/>
        <v xml:space="preserve"> </v>
      </c>
      <c r="AJ71" s="120">
        <f t="shared" si="33"/>
        <v>9</v>
      </c>
    </row>
    <row r="72" spans="1:179" ht="12" x14ac:dyDescent="0.25">
      <c r="A72" s="472" t="s">
        <v>21</v>
      </c>
      <c r="B72" s="105">
        <v>38</v>
      </c>
      <c r="C72" s="105">
        <v>48</v>
      </c>
      <c r="D72" s="105">
        <v>68</v>
      </c>
      <c r="E72" s="105">
        <v>56</v>
      </c>
      <c r="F72" s="105">
        <v>52</v>
      </c>
      <c r="G72" s="105">
        <v>63</v>
      </c>
      <c r="H72" s="90">
        <v>62</v>
      </c>
      <c r="I72" s="90">
        <v>63</v>
      </c>
      <c r="J72" s="105">
        <v>37</v>
      </c>
      <c r="K72" s="105">
        <v>38</v>
      </c>
      <c r="L72" s="105">
        <v>34</v>
      </c>
      <c r="M72" s="105">
        <v>41</v>
      </c>
      <c r="N72" s="90">
        <v>43</v>
      </c>
      <c r="O72" s="247">
        <v>30</v>
      </c>
      <c r="P72" s="247">
        <v>28</v>
      </c>
      <c r="Q72" s="289">
        <v>37</v>
      </c>
      <c r="R72" s="289">
        <v>38</v>
      </c>
      <c r="S72" s="316">
        <v>29</v>
      </c>
      <c r="T72" s="289">
        <v>44</v>
      </c>
      <c r="U72" s="517">
        <v>40</v>
      </c>
      <c r="V72" s="694">
        <v>22</v>
      </c>
      <c r="W72" s="255">
        <v>21</v>
      </c>
      <c r="X72" s="90">
        <v>31</v>
      </c>
      <c r="Y72" s="90">
        <v>22</v>
      </c>
      <c r="Z72" s="79">
        <v>18</v>
      </c>
      <c r="AA72" s="79">
        <v>25</v>
      </c>
      <c r="AB72" s="79">
        <v>25</v>
      </c>
      <c r="AC72" s="79">
        <v>35</v>
      </c>
      <c r="AD72" s="79">
        <v>18</v>
      </c>
      <c r="AE72" s="79">
        <v>30</v>
      </c>
      <c r="AF72" s="733">
        <v>29</v>
      </c>
      <c r="AG72" s="764">
        <f t="shared" si="30"/>
        <v>-3.3333333333333333E-2</v>
      </c>
      <c r="AH72" s="474">
        <f t="shared" si="31"/>
        <v>0.16</v>
      </c>
      <c r="AI72" s="475">
        <f t="shared" si="32"/>
        <v>0.31818181818181818</v>
      </c>
      <c r="AJ72" s="469">
        <f t="shared" si="33"/>
        <v>25.666666666666668</v>
      </c>
    </row>
    <row r="73" spans="1:179" s="16" customFormat="1" ht="12.6" thickBot="1" x14ac:dyDescent="0.3">
      <c r="A73" s="373" t="s">
        <v>79</v>
      </c>
      <c r="B73" s="110">
        <f t="shared" ref="B73:AE73" si="34">SUM(B67:B72)</f>
        <v>201</v>
      </c>
      <c r="C73" s="110">
        <f t="shared" si="34"/>
        <v>209</v>
      </c>
      <c r="D73" s="110">
        <f t="shared" si="34"/>
        <v>253</v>
      </c>
      <c r="E73" s="110">
        <f t="shared" si="34"/>
        <v>216</v>
      </c>
      <c r="F73" s="110">
        <f t="shared" si="34"/>
        <v>219</v>
      </c>
      <c r="G73" s="110">
        <f t="shared" si="34"/>
        <v>200</v>
      </c>
      <c r="H73" s="110">
        <f t="shared" si="34"/>
        <v>230</v>
      </c>
      <c r="I73" s="110">
        <f t="shared" si="34"/>
        <v>232</v>
      </c>
      <c r="J73" s="110">
        <f t="shared" si="34"/>
        <v>231</v>
      </c>
      <c r="K73" s="110">
        <f t="shared" si="34"/>
        <v>184</v>
      </c>
      <c r="L73" s="110">
        <f t="shared" si="34"/>
        <v>161</v>
      </c>
      <c r="M73" s="110">
        <f t="shared" si="34"/>
        <v>196</v>
      </c>
      <c r="N73" s="110">
        <f t="shared" si="34"/>
        <v>186</v>
      </c>
      <c r="O73" s="257">
        <f t="shared" si="34"/>
        <v>165</v>
      </c>
      <c r="P73" s="257">
        <f t="shared" si="34"/>
        <v>173</v>
      </c>
      <c r="Q73" s="292">
        <f t="shared" si="34"/>
        <v>170</v>
      </c>
      <c r="R73" s="292">
        <f t="shared" si="34"/>
        <v>198</v>
      </c>
      <c r="S73" s="292">
        <f t="shared" si="34"/>
        <v>203</v>
      </c>
      <c r="T73" s="292">
        <f t="shared" si="34"/>
        <v>239</v>
      </c>
      <c r="U73" s="524">
        <f t="shared" si="34"/>
        <v>250</v>
      </c>
      <c r="V73" s="698">
        <f t="shared" si="34"/>
        <v>192</v>
      </c>
      <c r="W73" s="165">
        <f t="shared" si="34"/>
        <v>227</v>
      </c>
      <c r="X73" s="110">
        <f t="shared" si="34"/>
        <v>215</v>
      </c>
      <c r="Y73" s="110">
        <f t="shared" si="34"/>
        <v>152</v>
      </c>
      <c r="Z73" s="110">
        <f t="shared" si="34"/>
        <v>147</v>
      </c>
      <c r="AA73" s="110">
        <f t="shared" si="34"/>
        <v>151</v>
      </c>
      <c r="AB73" s="110">
        <f t="shared" si="34"/>
        <v>132</v>
      </c>
      <c r="AC73" s="110">
        <f t="shared" si="34"/>
        <v>165</v>
      </c>
      <c r="AD73" s="110">
        <f t="shared" si="34"/>
        <v>159</v>
      </c>
      <c r="AE73" s="110">
        <f t="shared" si="34"/>
        <v>149</v>
      </c>
      <c r="AF73" s="257">
        <f>SUM(AF67:AF72)</f>
        <v>166</v>
      </c>
      <c r="AG73" s="768">
        <f t="shared" si="30"/>
        <v>0.11409395973154363</v>
      </c>
      <c r="AH73" s="192">
        <f t="shared" si="31"/>
        <v>9.9337748344370855E-2</v>
      </c>
      <c r="AI73" s="192">
        <f t="shared" si="32"/>
        <v>-0.13541666666666666</v>
      </c>
      <c r="AJ73" s="110">
        <f t="shared" si="33"/>
        <v>158</v>
      </c>
      <c r="AK73" s="85"/>
      <c r="AL73" s="87"/>
      <c r="AM73" s="87"/>
      <c r="AN73" s="87"/>
      <c r="AO73" s="87"/>
      <c r="AP73" s="87"/>
      <c r="AQ73" s="87"/>
      <c r="AR73" s="87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FB73" s="15"/>
      <c r="FC73" s="15"/>
      <c r="FD73" s="15"/>
      <c r="FE73" s="15"/>
      <c r="FF73" s="15"/>
      <c r="FG73" s="15"/>
      <c r="FH73" s="15"/>
      <c r="FI73" s="15"/>
      <c r="FJ73" s="15"/>
      <c r="FK73" s="15"/>
      <c r="FL73" s="15"/>
      <c r="FM73" s="15"/>
      <c r="FN73" s="15"/>
    </row>
    <row r="74" spans="1:179" ht="13.2" thickTop="1" thickBot="1" x14ac:dyDescent="0.3">
      <c r="A74" s="374" t="s">
        <v>80</v>
      </c>
      <c r="B74" s="30">
        <f t="shared" ref="B74:AD74" si="35">+B73+B65+B54+B39+B17</f>
        <v>1006</v>
      </c>
      <c r="C74" s="30">
        <f t="shared" si="35"/>
        <v>1073</v>
      </c>
      <c r="D74" s="30">
        <f t="shared" si="35"/>
        <v>1135</v>
      </c>
      <c r="E74" s="30">
        <f t="shared" si="35"/>
        <v>1185</v>
      </c>
      <c r="F74" s="30">
        <f t="shared" si="35"/>
        <v>1107</v>
      </c>
      <c r="G74" s="30">
        <f t="shared" si="35"/>
        <v>991</v>
      </c>
      <c r="H74" s="30">
        <f t="shared" si="35"/>
        <v>1216</v>
      </c>
      <c r="I74" s="30">
        <f t="shared" si="35"/>
        <v>1231</v>
      </c>
      <c r="J74" s="30">
        <f t="shared" si="35"/>
        <v>1352</v>
      </c>
      <c r="K74" s="30">
        <f t="shared" si="35"/>
        <v>1299</v>
      </c>
      <c r="L74" s="30">
        <f t="shared" si="35"/>
        <v>1313</v>
      </c>
      <c r="M74" s="30">
        <f t="shared" si="35"/>
        <v>1400</v>
      </c>
      <c r="N74" s="30">
        <f t="shared" si="35"/>
        <v>1439</v>
      </c>
      <c r="O74" s="258">
        <f t="shared" si="35"/>
        <v>1553</v>
      </c>
      <c r="P74" s="258">
        <f t="shared" si="35"/>
        <v>1608</v>
      </c>
      <c r="Q74" s="293">
        <f t="shared" si="35"/>
        <v>1661</v>
      </c>
      <c r="R74" s="293">
        <f t="shared" si="35"/>
        <v>1709</v>
      </c>
      <c r="S74" s="293">
        <f t="shared" si="35"/>
        <v>1787</v>
      </c>
      <c r="T74" s="293">
        <f t="shared" si="35"/>
        <v>1872</v>
      </c>
      <c r="U74" s="525">
        <f t="shared" si="35"/>
        <v>1899</v>
      </c>
      <c r="V74" s="699">
        <f t="shared" si="35"/>
        <v>1935</v>
      </c>
      <c r="W74" s="166">
        <f t="shared" si="35"/>
        <v>1967</v>
      </c>
      <c r="X74" s="30">
        <f t="shared" si="35"/>
        <v>2026</v>
      </c>
      <c r="Y74" s="30">
        <f t="shared" si="35"/>
        <v>1872</v>
      </c>
      <c r="Z74" s="30">
        <f t="shared" si="35"/>
        <v>1805</v>
      </c>
      <c r="AA74" s="30">
        <f t="shared" si="35"/>
        <v>1907</v>
      </c>
      <c r="AB74" s="30">
        <f t="shared" si="35"/>
        <v>1842</v>
      </c>
      <c r="AC74" s="30">
        <f t="shared" si="35"/>
        <v>1664</v>
      </c>
      <c r="AD74" s="30">
        <f t="shared" si="35"/>
        <v>1605</v>
      </c>
      <c r="AE74" s="30">
        <f>+AE73+AE65+AE54+AE39+AE17</f>
        <v>1468</v>
      </c>
      <c r="AF74" s="258">
        <f>+AF73+AF65+AF54+AF39+AF17</f>
        <v>1376</v>
      </c>
      <c r="AG74" s="769">
        <f t="shared" si="30"/>
        <v>-6.2670299727520432E-2</v>
      </c>
      <c r="AH74" s="111">
        <f t="shared" si="31"/>
        <v>-0.27844782380702676</v>
      </c>
      <c r="AI74" s="112">
        <f t="shared" si="32"/>
        <v>-0.28888888888888886</v>
      </c>
      <c r="AJ74" s="193">
        <f t="shared" si="33"/>
        <v>1483</v>
      </c>
      <c r="AK74" s="86"/>
      <c r="AL74" s="91"/>
      <c r="AM74" s="91"/>
      <c r="AN74" s="91"/>
      <c r="AO74" s="91"/>
      <c r="AP74" s="91"/>
      <c r="AQ74" s="91"/>
      <c r="AR74" s="91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M74" s="29"/>
      <c r="CN74" s="29"/>
      <c r="CO74" s="29"/>
      <c r="CP74" s="29"/>
      <c r="CQ74" s="29"/>
      <c r="CR74" s="29"/>
      <c r="CS74" s="29"/>
      <c r="CT74" s="29"/>
      <c r="CU74" s="29"/>
      <c r="CV74" s="29"/>
      <c r="CW74" s="29"/>
      <c r="CX74" s="29"/>
      <c r="CY74" s="29"/>
      <c r="CZ74" s="29"/>
      <c r="DA74" s="29"/>
      <c r="DB74" s="29"/>
      <c r="DC74" s="29"/>
      <c r="DD74" s="29"/>
      <c r="DE74" s="29"/>
      <c r="DF74" s="29"/>
      <c r="DG74" s="29"/>
      <c r="DH74" s="29"/>
      <c r="DI74" s="29"/>
      <c r="DJ74" s="29"/>
      <c r="DK74" s="29"/>
      <c r="DL74" s="29"/>
      <c r="DM74" s="29"/>
      <c r="DN74" s="29"/>
      <c r="DO74" s="29"/>
      <c r="DP74" s="29"/>
      <c r="DQ74" s="29"/>
      <c r="DR74" s="29"/>
      <c r="DS74" s="29"/>
      <c r="DT74" s="29"/>
      <c r="DU74" s="29"/>
      <c r="DV74" s="29"/>
      <c r="DW74" s="29"/>
      <c r="DX74" s="29"/>
      <c r="DY74" s="29"/>
      <c r="DZ74" s="29"/>
      <c r="EA74" s="29"/>
      <c r="EB74" s="29"/>
      <c r="EC74" s="29"/>
      <c r="ED74" s="29"/>
      <c r="EE74" s="29"/>
      <c r="EF74" s="29"/>
      <c r="EG74" s="29"/>
      <c r="EH74" s="29"/>
      <c r="EI74" s="29"/>
      <c r="EJ74" s="29"/>
      <c r="EK74" s="29"/>
      <c r="EL74" s="29"/>
      <c r="EM74" s="29"/>
      <c r="EN74" s="29"/>
      <c r="EO74" s="29"/>
      <c r="EP74" s="29"/>
      <c r="EQ74" s="29"/>
      <c r="ER74" s="29"/>
      <c r="ES74" s="29"/>
      <c r="ET74" s="29"/>
      <c r="EU74" s="29"/>
      <c r="EV74" s="29"/>
      <c r="EW74" s="29"/>
      <c r="EX74" s="29"/>
      <c r="EY74" s="29"/>
      <c r="EZ74" s="29"/>
      <c r="FA74" s="29"/>
      <c r="FB74" s="29"/>
      <c r="FC74" s="29"/>
      <c r="FD74" s="29"/>
      <c r="FE74" s="29"/>
      <c r="FF74" s="29"/>
      <c r="FG74" s="29"/>
      <c r="FH74" s="29"/>
      <c r="FI74" s="29"/>
      <c r="FJ74" s="29"/>
      <c r="FK74" s="29"/>
      <c r="FL74" s="29"/>
      <c r="FM74" s="29"/>
      <c r="FN74" s="29"/>
    </row>
    <row r="75" spans="1:179" ht="9.6" customHeight="1" thickTop="1" x14ac:dyDescent="0.25">
      <c r="A75" s="375"/>
      <c r="B75" s="31"/>
      <c r="C75" s="31"/>
      <c r="D75" s="32"/>
      <c r="E75" s="32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161"/>
      <c r="Z75" s="161"/>
      <c r="AA75" s="161"/>
      <c r="AB75" s="161"/>
      <c r="AC75" s="161"/>
      <c r="AD75" s="161"/>
      <c r="AE75" s="161"/>
      <c r="AF75" s="161"/>
      <c r="AG75" s="161"/>
      <c r="AH75" s="33"/>
      <c r="AI75" s="31"/>
      <c r="AJ75" s="34"/>
      <c r="AK75" s="86"/>
      <c r="AL75" s="86"/>
      <c r="AM75" s="91"/>
      <c r="AN75" s="91"/>
      <c r="AO75" s="91"/>
      <c r="AP75" s="91"/>
      <c r="AQ75" s="91"/>
      <c r="AR75" s="91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D75" s="29"/>
      <c r="CE75" s="29"/>
      <c r="CF75" s="29"/>
      <c r="CG75" s="29"/>
      <c r="CH75" s="29"/>
      <c r="CI75" s="29"/>
      <c r="CJ75" s="29"/>
      <c r="CK75" s="29"/>
      <c r="CL75" s="29"/>
      <c r="CM75" s="29"/>
      <c r="CN75" s="29"/>
      <c r="CO75" s="29"/>
      <c r="CP75" s="29"/>
      <c r="CQ75" s="29"/>
      <c r="CR75" s="29"/>
      <c r="CS75" s="29"/>
      <c r="CT75" s="29"/>
      <c r="CU75" s="29"/>
      <c r="CV75" s="29"/>
      <c r="CW75" s="29"/>
      <c r="CX75" s="29"/>
      <c r="CY75" s="29"/>
      <c r="CZ75" s="29"/>
      <c r="DA75" s="29"/>
      <c r="DB75" s="29"/>
      <c r="DC75" s="29"/>
      <c r="DD75" s="29"/>
      <c r="DE75" s="29"/>
      <c r="DF75" s="29"/>
      <c r="DG75" s="29"/>
      <c r="DH75" s="29"/>
      <c r="DI75" s="29"/>
      <c r="DJ75" s="29"/>
      <c r="DK75" s="29"/>
      <c r="DL75" s="29"/>
      <c r="DM75" s="29"/>
      <c r="DN75" s="29"/>
      <c r="DO75" s="29"/>
      <c r="DP75" s="29"/>
      <c r="DQ75" s="29"/>
      <c r="DR75" s="29"/>
      <c r="DS75" s="29"/>
      <c r="DT75" s="29"/>
      <c r="DU75" s="29"/>
      <c r="DV75" s="29"/>
      <c r="DW75" s="29"/>
      <c r="DX75" s="29"/>
      <c r="DY75" s="29"/>
      <c r="DZ75" s="29"/>
      <c r="EA75" s="29"/>
      <c r="EB75" s="29"/>
      <c r="EC75" s="29"/>
      <c r="ED75" s="29"/>
      <c r="EE75" s="29"/>
      <c r="EF75" s="29"/>
      <c r="EG75" s="29"/>
      <c r="EH75" s="29"/>
      <c r="EI75" s="29"/>
      <c r="EJ75" s="29"/>
      <c r="EK75" s="29"/>
      <c r="EL75" s="29"/>
      <c r="EM75" s="29"/>
      <c r="EN75" s="29"/>
      <c r="EO75" s="29"/>
      <c r="EP75" s="29"/>
      <c r="EQ75" s="29"/>
      <c r="ER75" s="29"/>
      <c r="ES75" s="29"/>
      <c r="ET75" s="29"/>
      <c r="EU75" s="29"/>
      <c r="EV75" s="29"/>
      <c r="EW75" s="29"/>
      <c r="EX75" s="29"/>
      <c r="EY75" s="29"/>
      <c r="EZ75" s="29"/>
      <c r="FA75" s="29"/>
      <c r="FB75" s="29"/>
      <c r="FC75" s="29"/>
      <c r="FD75" s="29"/>
      <c r="FE75" s="29"/>
      <c r="FF75" s="29"/>
      <c r="FG75" s="29"/>
      <c r="FH75" s="29"/>
      <c r="FI75" s="29"/>
      <c r="FJ75" s="29"/>
      <c r="FK75" s="29"/>
      <c r="FL75" s="29"/>
      <c r="FM75" s="29"/>
      <c r="FN75" s="29"/>
      <c r="FO75" s="29"/>
    </row>
    <row r="76" spans="1:179" ht="13.8" x14ac:dyDescent="0.25">
      <c r="A76" s="787" t="s">
        <v>152</v>
      </c>
      <c r="B76" s="787"/>
      <c r="C76" s="787"/>
      <c r="D76" s="787"/>
      <c r="E76" s="787"/>
      <c r="F76" s="787"/>
      <c r="G76" s="787"/>
      <c r="H76" s="787"/>
      <c r="I76" s="787"/>
      <c r="J76" s="787"/>
      <c r="K76" s="787"/>
      <c r="L76" s="787"/>
      <c r="M76" s="787"/>
      <c r="N76" s="787"/>
      <c r="O76" s="787"/>
      <c r="P76" s="787"/>
      <c r="Q76" s="787"/>
      <c r="R76" s="787"/>
      <c r="S76" s="787"/>
      <c r="T76" s="787"/>
      <c r="U76" s="787"/>
      <c r="V76" s="787"/>
      <c r="W76" s="787"/>
      <c r="X76" s="787"/>
      <c r="Y76" s="787"/>
      <c r="Z76" s="787"/>
      <c r="AA76" s="787"/>
      <c r="AB76" s="787"/>
      <c r="AC76" s="787"/>
      <c r="AD76" s="787"/>
      <c r="AE76" s="787"/>
      <c r="AF76" s="787"/>
      <c r="AG76" s="787"/>
      <c r="AH76" s="787"/>
      <c r="AI76" s="787"/>
      <c r="AJ76" s="787"/>
    </row>
    <row r="77" spans="1:179" ht="7.2" customHeight="1" x14ac:dyDescent="0.3">
      <c r="A77" s="376"/>
      <c r="B77" s="376"/>
      <c r="C77" s="376"/>
      <c r="D77" s="377"/>
      <c r="E77" s="377"/>
      <c r="F77" s="378"/>
      <c r="G77" s="377"/>
      <c r="H77" s="379"/>
      <c r="I77" s="379"/>
      <c r="J77" s="379"/>
      <c r="K77" s="379"/>
      <c r="L77" s="380"/>
      <c r="M77" s="379"/>
      <c r="N77" s="379"/>
      <c r="O77" s="379"/>
      <c r="P77" s="379"/>
      <c r="Q77" s="379"/>
      <c r="R77" s="379"/>
      <c r="S77" s="379"/>
      <c r="T77" s="379"/>
      <c r="U77" s="379"/>
      <c r="V77" s="379"/>
      <c r="W77" s="379"/>
      <c r="X77" s="379"/>
      <c r="Y77" s="377"/>
      <c r="Z77" s="377"/>
      <c r="AA77" s="377"/>
      <c r="AB77" s="377"/>
      <c r="AC77" s="377"/>
      <c r="AD77" s="377"/>
      <c r="AE77" s="377"/>
      <c r="AF77" s="377"/>
      <c r="AG77" s="377"/>
      <c r="AH77" s="381"/>
      <c r="AI77" s="35"/>
      <c r="AJ77" s="36"/>
      <c r="AK77" s="86"/>
      <c r="AL77" s="86"/>
      <c r="AM77" s="91"/>
      <c r="AN77" s="91"/>
      <c r="AO77" s="91"/>
      <c r="AP77" s="91"/>
      <c r="AQ77" s="91"/>
      <c r="AR77" s="91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29"/>
      <c r="CA77" s="29"/>
      <c r="CB77" s="29"/>
      <c r="CC77" s="29"/>
      <c r="CD77" s="29"/>
      <c r="CE77" s="29"/>
      <c r="CF77" s="29"/>
      <c r="CG77" s="29"/>
      <c r="CH77" s="29"/>
      <c r="CI77" s="29"/>
      <c r="CJ77" s="29"/>
      <c r="CK77" s="29"/>
      <c r="CL77" s="29"/>
      <c r="CM77" s="29"/>
      <c r="CN77" s="29"/>
      <c r="CO77" s="29"/>
      <c r="CP77" s="29"/>
      <c r="CQ77" s="29"/>
      <c r="CR77" s="29"/>
      <c r="CS77" s="29"/>
      <c r="CT77" s="29"/>
      <c r="CU77" s="29"/>
      <c r="CV77" s="29"/>
      <c r="CW77" s="29"/>
      <c r="CX77" s="29"/>
      <c r="CY77" s="29"/>
      <c r="CZ77" s="29"/>
      <c r="DA77" s="29"/>
      <c r="DB77" s="29"/>
      <c r="DC77" s="29"/>
      <c r="DD77" s="29"/>
      <c r="DE77" s="29"/>
      <c r="DF77" s="29"/>
      <c r="DG77" s="29"/>
      <c r="DH77" s="29"/>
      <c r="DI77" s="29"/>
      <c r="DJ77" s="29"/>
      <c r="DK77" s="29"/>
      <c r="DL77" s="29"/>
      <c r="DM77" s="29"/>
      <c r="DN77" s="29"/>
      <c r="DO77" s="29"/>
      <c r="DP77" s="29"/>
      <c r="DQ77" s="29"/>
      <c r="DR77" s="29"/>
      <c r="DS77" s="29"/>
      <c r="DT77" s="29"/>
      <c r="DU77" s="29"/>
      <c r="DV77" s="29"/>
      <c r="DW77" s="29"/>
      <c r="DX77" s="29"/>
      <c r="DY77" s="29"/>
      <c r="DZ77" s="29"/>
      <c r="EA77" s="29"/>
      <c r="EB77" s="29"/>
      <c r="EC77" s="29"/>
      <c r="ED77" s="29"/>
      <c r="EE77" s="29"/>
      <c r="EF77" s="29"/>
      <c r="EG77" s="29"/>
      <c r="EH77" s="29"/>
      <c r="EI77" s="29"/>
      <c r="EJ77" s="29"/>
      <c r="EK77" s="29"/>
      <c r="EL77" s="29"/>
      <c r="EM77" s="29"/>
      <c r="EN77" s="29"/>
      <c r="EO77" s="29"/>
      <c r="EP77" s="29"/>
      <c r="EQ77" s="29"/>
      <c r="ER77" s="29"/>
      <c r="ES77" s="29"/>
      <c r="ET77" s="29"/>
      <c r="EU77" s="29"/>
      <c r="EV77" s="29"/>
      <c r="EW77" s="29"/>
      <c r="EX77" s="29"/>
      <c r="EY77" s="29"/>
      <c r="EZ77" s="29"/>
      <c r="FA77" s="29"/>
      <c r="FB77" s="29"/>
      <c r="FC77" s="29"/>
      <c r="FD77" s="29"/>
      <c r="FE77" s="29"/>
      <c r="FF77" s="29"/>
      <c r="FG77" s="29"/>
      <c r="FH77" s="29"/>
      <c r="FI77" s="29"/>
      <c r="FJ77" s="29"/>
      <c r="FK77" s="29"/>
      <c r="FL77" s="29"/>
      <c r="FM77" s="29"/>
      <c r="FN77" s="29"/>
      <c r="FO77" s="29"/>
    </row>
    <row r="78" spans="1:179" ht="12" customHeight="1" x14ac:dyDescent="0.25">
      <c r="A78" s="790" t="s">
        <v>65</v>
      </c>
      <c r="B78" s="341"/>
      <c r="C78" s="342"/>
      <c r="D78" s="342"/>
      <c r="E78" s="341"/>
      <c r="F78" s="341"/>
      <c r="G78" s="342"/>
      <c r="H78" s="343"/>
      <c r="I78" s="343"/>
      <c r="J78" s="342"/>
      <c r="K78" s="344"/>
      <c r="L78" s="344"/>
      <c r="M78" s="344"/>
      <c r="N78" s="343"/>
      <c r="O78" s="345"/>
      <c r="P78" s="346"/>
      <c r="Q78" s="347"/>
      <c r="R78" s="347"/>
      <c r="S78" s="348"/>
      <c r="T78" s="347"/>
      <c r="U78" s="526" t="s">
        <v>131</v>
      </c>
      <c r="V78" s="700" t="s">
        <v>112</v>
      </c>
      <c r="W78" s="499" t="s">
        <v>112</v>
      </c>
      <c r="X78" s="604" t="s">
        <v>112</v>
      </c>
      <c r="Y78" s="604" t="s">
        <v>112</v>
      </c>
      <c r="Z78" s="431" t="s">
        <v>131</v>
      </c>
      <c r="AA78" s="431" t="s">
        <v>131</v>
      </c>
      <c r="AB78" s="431" t="s">
        <v>131</v>
      </c>
      <c r="AC78" s="431" t="s">
        <v>131</v>
      </c>
      <c r="AD78" s="431" t="s">
        <v>131</v>
      </c>
      <c r="AE78" s="431" t="s">
        <v>131</v>
      </c>
      <c r="AF78" s="736" t="s">
        <v>112</v>
      </c>
      <c r="AG78" s="792" t="s">
        <v>160</v>
      </c>
      <c r="AH78" s="794" t="s">
        <v>161</v>
      </c>
      <c r="AI78" s="788" t="s">
        <v>162</v>
      </c>
      <c r="AJ78" s="808" t="s">
        <v>180</v>
      </c>
      <c r="AK78" s="86"/>
      <c r="AL78" s="86"/>
      <c r="AM78" s="91"/>
      <c r="AN78" s="91"/>
      <c r="AO78" s="91"/>
      <c r="AP78" s="91"/>
      <c r="AQ78" s="91"/>
      <c r="AR78" s="91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29"/>
      <c r="CA78" s="29"/>
      <c r="CB78" s="29"/>
      <c r="CC78" s="29"/>
      <c r="CD78" s="29"/>
      <c r="CE78" s="29"/>
      <c r="CF78" s="29"/>
      <c r="CG78" s="29"/>
      <c r="CH78" s="29"/>
      <c r="CI78" s="29"/>
      <c r="CJ78" s="29"/>
      <c r="CK78" s="29"/>
      <c r="CL78" s="29"/>
      <c r="CM78" s="29"/>
      <c r="CN78" s="29"/>
      <c r="CO78" s="29"/>
      <c r="CP78" s="29"/>
      <c r="CQ78" s="29"/>
      <c r="CR78" s="29"/>
      <c r="CS78" s="29"/>
      <c r="CT78" s="29"/>
      <c r="CU78" s="29"/>
      <c r="CV78" s="29"/>
      <c r="CW78" s="29"/>
      <c r="CX78" s="29"/>
      <c r="CY78" s="29"/>
      <c r="CZ78" s="29"/>
      <c r="DA78" s="29"/>
      <c r="DB78" s="29"/>
      <c r="DC78" s="29"/>
      <c r="DD78" s="29"/>
      <c r="DE78" s="29"/>
      <c r="DF78" s="29"/>
      <c r="DG78" s="29"/>
      <c r="DH78" s="29"/>
      <c r="DI78" s="29"/>
      <c r="DJ78" s="29"/>
      <c r="DK78" s="29"/>
      <c r="DL78" s="29"/>
      <c r="DM78" s="29"/>
      <c r="DN78" s="29"/>
      <c r="DO78" s="29"/>
      <c r="DP78" s="29"/>
      <c r="DQ78" s="29"/>
      <c r="DR78" s="29"/>
      <c r="DS78" s="29"/>
      <c r="DT78" s="29"/>
      <c r="DU78" s="29"/>
      <c r="DV78" s="29"/>
      <c r="DW78" s="29"/>
      <c r="DX78" s="29"/>
      <c r="DY78" s="29"/>
      <c r="DZ78" s="29"/>
      <c r="EA78" s="29"/>
      <c r="EB78" s="29"/>
      <c r="EC78" s="29"/>
      <c r="ED78" s="29"/>
      <c r="EE78" s="29"/>
      <c r="EF78" s="29"/>
      <c r="EG78" s="29"/>
      <c r="EH78" s="29"/>
      <c r="EI78" s="29"/>
      <c r="EJ78" s="29"/>
      <c r="EK78" s="29"/>
      <c r="EL78" s="29"/>
      <c r="EM78" s="29"/>
      <c r="EN78" s="29"/>
      <c r="EO78" s="29"/>
      <c r="EP78" s="29"/>
      <c r="EQ78" s="29"/>
      <c r="ER78" s="29"/>
      <c r="ES78" s="29"/>
      <c r="ET78" s="29"/>
      <c r="EU78" s="29"/>
      <c r="EV78" s="29"/>
      <c r="EW78" s="29"/>
      <c r="EX78" s="29"/>
      <c r="EY78" s="29"/>
      <c r="EZ78" s="29"/>
      <c r="FA78" s="29"/>
      <c r="FB78" s="29"/>
      <c r="FC78" s="29"/>
      <c r="FD78" s="29"/>
      <c r="FE78" s="29"/>
      <c r="FF78" s="29"/>
      <c r="FG78" s="29"/>
      <c r="FH78" s="29"/>
      <c r="FI78" s="29"/>
      <c r="FJ78" s="29"/>
      <c r="FK78" s="29"/>
      <c r="FL78" s="29"/>
      <c r="FM78" s="29"/>
      <c r="FN78" s="29"/>
      <c r="FO78" s="29"/>
      <c r="FP78" s="29"/>
      <c r="FQ78" s="29"/>
      <c r="FR78" s="29"/>
      <c r="FS78" s="29"/>
      <c r="FT78" s="29"/>
      <c r="FU78" s="29"/>
      <c r="FV78" s="29"/>
      <c r="FW78" s="29"/>
    </row>
    <row r="79" spans="1:179" ht="12.6" thickBot="1" x14ac:dyDescent="0.3">
      <c r="A79" s="791"/>
      <c r="B79" s="58" t="s">
        <v>82</v>
      </c>
      <c r="C79" s="59" t="s">
        <v>32</v>
      </c>
      <c r="D79" s="58" t="s">
        <v>38</v>
      </c>
      <c r="E79" s="59" t="s">
        <v>39</v>
      </c>
      <c r="F79" s="59" t="s">
        <v>40</v>
      </c>
      <c r="G79" s="58" t="s">
        <v>41</v>
      </c>
      <c r="H79" s="60" t="s">
        <v>42</v>
      </c>
      <c r="I79" s="61" t="s">
        <v>34</v>
      </c>
      <c r="J79" s="62" t="s">
        <v>35</v>
      </c>
      <c r="K79" s="62" t="s">
        <v>36</v>
      </c>
      <c r="L79" s="62" t="s">
        <v>37</v>
      </c>
      <c r="M79" s="62" t="s">
        <v>33</v>
      </c>
      <c r="N79" s="61" t="s">
        <v>43</v>
      </c>
      <c r="O79" s="237" t="s">
        <v>44</v>
      </c>
      <c r="P79" s="237" t="s">
        <v>47</v>
      </c>
      <c r="Q79" s="279" t="s">
        <v>50</v>
      </c>
      <c r="R79" s="279" t="s">
        <v>53</v>
      </c>
      <c r="S79" s="317" t="s">
        <v>54</v>
      </c>
      <c r="T79" s="325" t="s">
        <v>57</v>
      </c>
      <c r="U79" s="527" t="s">
        <v>58</v>
      </c>
      <c r="V79" s="701" t="s">
        <v>59</v>
      </c>
      <c r="W79" s="307" t="s">
        <v>60</v>
      </c>
      <c r="X79" s="63" t="s">
        <v>62</v>
      </c>
      <c r="Y79" s="63" t="s">
        <v>64</v>
      </c>
      <c r="Z79" s="6" t="s">
        <v>95</v>
      </c>
      <c r="AA79" s="6" t="s">
        <v>98</v>
      </c>
      <c r="AB79" s="6" t="s">
        <v>99</v>
      </c>
      <c r="AC79" s="6" t="s">
        <v>102</v>
      </c>
      <c r="AD79" s="6" t="s">
        <v>106</v>
      </c>
      <c r="AE79" s="6" t="s">
        <v>108</v>
      </c>
      <c r="AF79" s="737" t="s">
        <v>147</v>
      </c>
      <c r="AG79" s="793"/>
      <c r="AH79" s="795"/>
      <c r="AI79" s="789"/>
      <c r="AJ79" s="809"/>
      <c r="AK79" s="86"/>
      <c r="AL79" s="86"/>
      <c r="AM79" s="91"/>
      <c r="AN79" s="91"/>
      <c r="AO79" s="91"/>
      <c r="AP79" s="91"/>
      <c r="AQ79" s="91"/>
      <c r="AR79" s="91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29"/>
      <c r="CA79" s="29"/>
      <c r="CB79" s="29"/>
      <c r="CC79" s="29"/>
      <c r="CD79" s="29"/>
      <c r="CE79" s="29"/>
      <c r="CF79" s="29"/>
      <c r="CG79" s="29"/>
      <c r="CH79" s="29"/>
      <c r="CI79" s="29"/>
      <c r="CJ79" s="29"/>
      <c r="CK79" s="29"/>
      <c r="CL79" s="29"/>
      <c r="CM79" s="29"/>
      <c r="CN79" s="29"/>
      <c r="CO79" s="29"/>
      <c r="CP79" s="29"/>
      <c r="CQ79" s="29"/>
      <c r="CR79" s="29"/>
      <c r="CS79" s="29"/>
      <c r="CT79" s="29"/>
      <c r="CU79" s="29"/>
      <c r="CV79" s="29"/>
      <c r="CW79" s="29"/>
      <c r="CX79" s="29"/>
      <c r="CY79" s="29"/>
      <c r="CZ79" s="29"/>
      <c r="DA79" s="29"/>
      <c r="DB79" s="29"/>
      <c r="DC79" s="29"/>
      <c r="DD79" s="29"/>
      <c r="DE79" s="29"/>
      <c r="DF79" s="29"/>
      <c r="DG79" s="29"/>
      <c r="DH79" s="29"/>
      <c r="DI79" s="29"/>
      <c r="DJ79" s="29"/>
      <c r="DK79" s="29"/>
      <c r="DL79" s="29"/>
      <c r="DM79" s="29"/>
      <c r="DN79" s="29"/>
      <c r="DO79" s="29"/>
      <c r="DP79" s="29"/>
      <c r="DQ79" s="29"/>
      <c r="DR79" s="29"/>
      <c r="DS79" s="29"/>
      <c r="DT79" s="29"/>
      <c r="DU79" s="29"/>
      <c r="DV79" s="29"/>
      <c r="DW79" s="29"/>
      <c r="DX79" s="29"/>
      <c r="DY79" s="29"/>
      <c r="DZ79" s="29"/>
      <c r="EA79" s="29"/>
      <c r="EB79" s="29"/>
      <c r="EC79" s="29"/>
      <c r="ED79" s="29"/>
      <c r="EE79" s="29"/>
      <c r="EF79" s="29"/>
      <c r="EG79" s="29"/>
      <c r="EH79" s="29"/>
      <c r="EI79" s="29"/>
      <c r="EJ79" s="29"/>
      <c r="EK79" s="29"/>
      <c r="EL79" s="29"/>
      <c r="EM79" s="29"/>
      <c r="EN79" s="29"/>
      <c r="EO79" s="29"/>
      <c r="EP79" s="29"/>
      <c r="EQ79" s="29"/>
      <c r="ER79" s="29"/>
      <c r="ES79" s="29"/>
      <c r="ET79" s="29"/>
      <c r="EU79" s="29"/>
      <c r="EV79" s="29"/>
      <c r="EW79" s="29"/>
      <c r="EX79" s="29"/>
      <c r="EY79" s="29"/>
      <c r="EZ79" s="29"/>
      <c r="FA79" s="29"/>
      <c r="FB79" s="29"/>
      <c r="FC79" s="29"/>
      <c r="FD79" s="29"/>
      <c r="FE79" s="29"/>
      <c r="FF79" s="29"/>
      <c r="FG79" s="29"/>
      <c r="FH79" s="29"/>
      <c r="FI79" s="29"/>
      <c r="FJ79" s="29"/>
      <c r="FK79" s="29"/>
      <c r="FL79" s="29"/>
      <c r="FM79" s="29"/>
      <c r="FN79" s="29"/>
      <c r="FO79" s="29"/>
    </row>
    <row r="80" spans="1:179" ht="12.6" thickTop="1" x14ac:dyDescent="0.25">
      <c r="A80" s="382" t="s">
        <v>81</v>
      </c>
      <c r="B80" s="37"/>
      <c r="C80" s="37"/>
      <c r="D80" s="38"/>
      <c r="E80" s="38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40"/>
      <c r="AA80" s="40"/>
      <c r="AB80" s="40"/>
      <c r="AC80" s="40"/>
      <c r="AD80" s="40"/>
      <c r="AE80" s="40"/>
      <c r="AF80" s="40"/>
      <c r="AG80" s="40"/>
      <c r="AH80" s="40"/>
      <c r="AI80" s="39"/>
      <c r="AJ80" s="41"/>
      <c r="AK80" s="86"/>
      <c r="AL80" s="86"/>
      <c r="AM80" s="91"/>
      <c r="AN80" s="91"/>
      <c r="AO80" s="91"/>
      <c r="AP80" s="91"/>
      <c r="AQ80" s="91"/>
      <c r="AR80" s="91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  <c r="CH80" s="29"/>
      <c r="CI80" s="29"/>
      <c r="CJ80" s="29"/>
      <c r="CK80" s="29"/>
      <c r="CL80" s="29"/>
      <c r="CM80" s="29"/>
      <c r="CN80" s="29"/>
      <c r="CO80" s="29"/>
      <c r="CP80" s="29"/>
      <c r="CQ80" s="29"/>
      <c r="CR80" s="29"/>
      <c r="CS80" s="29"/>
      <c r="CT80" s="29"/>
      <c r="CU80" s="29"/>
      <c r="CV80" s="29"/>
      <c r="CW80" s="29"/>
      <c r="CX80" s="29"/>
      <c r="CY80" s="29"/>
      <c r="CZ80" s="29"/>
      <c r="DA80" s="29"/>
      <c r="DB80" s="29"/>
      <c r="DC80" s="29"/>
      <c r="DD80" s="29"/>
      <c r="DE80" s="29"/>
      <c r="DF80" s="29"/>
      <c r="DG80" s="29"/>
      <c r="DH80" s="29"/>
      <c r="DI80" s="29"/>
      <c r="DJ80" s="29"/>
      <c r="DK80" s="29"/>
      <c r="DL80" s="29"/>
      <c r="DM80" s="29"/>
      <c r="DN80" s="29"/>
      <c r="DO80" s="29"/>
      <c r="DP80" s="29"/>
      <c r="DQ80" s="29"/>
      <c r="DR80" s="29"/>
      <c r="DS80" s="29"/>
      <c r="DT80" s="29"/>
      <c r="DU80" s="29"/>
      <c r="DV80" s="29"/>
      <c r="DW80" s="29"/>
      <c r="DX80" s="29"/>
      <c r="DY80" s="29"/>
      <c r="DZ80" s="29"/>
      <c r="EA80" s="29"/>
      <c r="EB80" s="29"/>
      <c r="EC80" s="29"/>
      <c r="ED80" s="29"/>
      <c r="EE80" s="29"/>
      <c r="EF80" s="29"/>
      <c r="EG80" s="29"/>
      <c r="EH80" s="29"/>
      <c r="EI80" s="29"/>
      <c r="EJ80" s="29"/>
      <c r="EK80" s="29"/>
      <c r="EL80" s="29"/>
      <c r="EM80" s="29"/>
      <c r="EN80" s="29"/>
      <c r="EO80" s="29"/>
      <c r="EP80" s="29"/>
      <c r="EQ80" s="29"/>
      <c r="ER80" s="29"/>
      <c r="ES80" s="29"/>
      <c r="ET80" s="29"/>
      <c r="EU80" s="29"/>
      <c r="EV80" s="29"/>
      <c r="EW80" s="29"/>
      <c r="EX80" s="29"/>
      <c r="EY80" s="29"/>
      <c r="EZ80" s="29"/>
      <c r="FA80" s="29"/>
      <c r="FB80" s="29"/>
      <c r="FC80" s="29"/>
      <c r="FD80" s="29"/>
      <c r="FE80" s="29"/>
      <c r="FF80" s="29"/>
      <c r="FG80" s="29"/>
      <c r="FH80" s="29"/>
      <c r="FI80" s="29"/>
      <c r="FJ80" s="29"/>
      <c r="FK80" s="29"/>
      <c r="FL80" s="29"/>
      <c r="FM80" s="29"/>
      <c r="FN80" s="29"/>
      <c r="FO80" s="29"/>
      <c r="FP80" s="29"/>
      <c r="FQ80" s="29"/>
      <c r="FR80" s="29"/>
      <c r="FS80" s="29"/>
      <c r="FT80" s="29"/>
      <c r="FU80" s="29"/>
      <c r="FV80" s="29"/>
      <c r="FW80" s="29"/>
    </row>
    <row r="81" spans="1:171" ht="12" x14ac:dyDescent="0.25">
      <c r="A81" s="383" t="s">
        <v>67</v>
      </c>
      <c r="B81" s="42"/>
      <c r="C81" s="42"/>
      <c r="D81" s="43"/>
      <c r="E81" s="43"/>
      <c r="F81" s="42"/>
      <c r="G81" s="44"/>
      <c r="H81" s="44"/>
      <c r="I81" s="44"/>
      <c r="J81" s="42"/>
      <c r="K81" s="42"/>
      <c r="L81" s="42"/>
      <c r="M81" s="42"/>
      <c r="N81" s="42"/>
      <c r="O81" s="42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6"/>
      <c r="AA81" s="46"/>
      <c r="AB81" s="46"/>
      <c r="AC81" s="46"/>
      <c r="AD81" s="46"/>
      <c r="AE81" s="46"/>
      <c r="AF81" s="46"/>
      <c r="AG81" s="46"/>
      <c r="AH81" s="46"/>
      <c r="AI81" s="47"/>
      <c r="AJ81" s="48"/>
      <c r="AK81" s="86"/>
      <c r="AL81" s="86"/>
      <c r="AM81" s="91"/>
      <c r="AN81" s="91"/>
      <c r="AO81" s="91"/>
      <c r="AP81" s="91"/>
      <c r="AQ81" s="91"/>
      <c r="AR81" s="91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9"/>
      <c r="CH81" s="29"/>
      <c r="CI81" s="29"/>
      <c r="CJ81" s="29"/>
      <c r="CK81" s="29"/>
      <c r="CL81" s="29"/>
      <c r="CM81" s="29"/>
      <c r="CN81" s="29"/>
      <c r="CO81" s="29"/>
      <c r="CP81" s="29"/>
      <c r="CQ81" s="29"/>
      <c r="CR81" s="29"/>
      <c r="CS81" s="29"/>
      <c r="CT81" s="29"/>
      <c r="CU81" s="29"/>
      <c r="CV81" s="29"/>
      <c r="CW81" s="29"/>
      <c r="CX81" s="29"/>
      <c r="CY81" s="29"/>
      <c r="CZ81" s="29"/>
      <c r="DA81" s="29"/>
      <c r="DB81" s="29"/>
      <c r="DC81" s="29"/>
      <c r="DD81" s="29"/>
      <c r="DE81" s="29"/>
      <c r="DF81" s="29"/>
      <c r="DG81" s="29"/>
      <c r="DH81" s="29"/>
      <c r="DI81" s="29"/>
      <c r="DJ81" s="29"/>
      <c r="DK81" s="29"/>
      <c r="DL81" s="29"/>
      <c r="DM81" s="29"/>
      <c r="DN81" s="29"/>
      <c r="DO81" s="29"/>
      <c r="DP81" s="29"/>
      <c r="DQ81" s="29"/>
      <c r="DR81" s="29"/>
      <c r="DS81" s="29"/>
      <c r="DT81" s="29"/>
      <c r="DU81" s="29"/>
      <c r="DV81" s="29"/>
      <c r="DW81" s="29"/>
      <c r="DX81" s="29"/>
      <c r="DY81" s="29"/>
      <c r="DZ81" s="29"/>
      <c r="EA81" s="29"/>
      <c r="EB81" s="29"/>
      <c r="EC81" s="29"/>
      <c r="ED81" s="29"/>
      <c r="EE81" s="29"/>
      <c r="EF81" s="29"/>
      <c r="EG81" s="29"/>
      <c r="EH81" s="29"/>
      <c r="EI81" s="29"/>
      <c r="EJ81" s="29"/>
      <c r="EK81" s="29"/>
      <c r="EL81" s="29"/>
      <c r="EM81" s="29"/>
      <c r="EN81" s="29"/>
      <c r="EO81" s="29"/>
      <c r="EP81" s="29"/>
      <c r="EQ81" s="29"/>
      <c r="ER81" s="29"/>
      <c r="ES81" s="29"/>
      <c r="ET81" s="29"/>
      <c r="EU81" s="29"/>
      <c r="EV81" s="29"/>
      <c r="EW81" s="29"/>
      <c r="EX81" s="29"/>
      <c r="EY81" s="29"/>
      <c r="EZ81" s="29"/>
      <c r="FA81" s="29"/>
      <c r="FB81" s="29"/>
      <c r="FC81" s="29"/>
      <c r="FD81" s="29"/>
      <c r="FE81" s="29"/>
      <c r="FF81" s="29"/>
      <c r="FG81" s="29"/>
      <c r="FH81" s="29"/>
      <c r="FI81" s="29"/>
      <c r="FJ81" s="29"/>
      <c r="FK81" s="29"/>
      <c r="FL81" s="29"/>
      <c r="FM81" s="29"/>
      <c r="FN81" s="29"/>
      <c r="FO81" s="29"/>
    </row>
    <row r="82" spans="1:171" ht="12" x14ac:dyDescent="0.25">
      <c r="A82" s="384" t="s">
        <v>68</v>
      </c>
      <c r="B82" s="49"/>
      <c r="C82" s="49"/>
      <c r="D82" s="50"/>
      <c r="E82" s="50"/>
      <c r="F82" s="49"/>
      <c r="G82" s="51"/>
      <c r="H82" s="51"/>
      <c r="I82" s="51"/>
      <c r="J82" s="49"/>
      <c r="K82" s="49"/>
      <c r="L82" s="49"/>
      <c r="M82" s="49"/>
      <c r="N82" s="49"/>
      <c r="O82" s="49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3"/>
      <c r="AA82" s="53"/>
      <c r="AB82" s="53"/>
      <c r="AC82" s="53"/>
      <c r="AD82" s="53"/>
      <c r="AE82" s="53"/>
      <c r="AF82" s="53"/>
      <c r="AG82" s="53"/>
      <c r="AH82" s="53"/>
      <c r="AI82" s="54"/>
      <c r="AJ82" s="55"/>
      <c r="AK82" s="86"/>
      <c r="AL82" s="86"/>
      <c r="AM82" s="91"/>
      <c r="AN82" s="91"/>
      <c r="AO82" s="91"/>
      <c r="AP82" s="91"/>
      <c r="AQ82" s="91"/>
      <c r="AR82" s="91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</row>
    <row r="83" spans="1:171" ht="13.8" x14ac:dyDescent="0.25">
      <c r="A83" s="349" t="s">
        <v>169</v>
      </c>
      <c r="B83" s="96"/>
      <c r="C83" s="96"/>
      <c r="D83" s="96"/>
      <c r="E83" s="96"/>
      <c r="F83" s="96"/>
      <c r="G83" s="127"/>
      <c r="H83" s="89"/>
      <c r="I83" s="89"/>
      <c r="J83" s="128"/>
      <c r="K83" s="128"/>
      <c r="L83" s="128"/>
      <c r="M83" s="128"/>
      <c r="N83" s="89"/>
      <c r="O83" s="238"/>
      <c r="P83" s="238"/>
      <c r="Q83" s="298"/>
      <c r="R83" s="298">
        <v>0</v>
      </c>
      <c r="S83" s="310"/>
      <c r="T83" s="298">
        <v>0</v>
      </c>
      <c r="U83" s="528"/>
      <c r="V83" s="702"/>
      <c r="W83" s="545"/>
      <c r="X83" s="606"/>
      <c r="Y83" s="89">
        <v>3</v>
      </c>
      <c r="Z83" s="129">
        <v>3</v>
      </c>
      <c r="AA83" s="129">
        <v>9</v>
      </c>
      <c r="AB83" s="129">
        <v>2</v>
      </c>
      <c r="AC83" s="129">
        <v>6</v>
      </c>
      <c r="AD83" s="544"/>
      <c r="AE83" s="545"/>
      <c r="AF83" s="728"/>
      <c r="AG83" s="767" t="str">
        <f t="shared" ref="AG83:AG85" si="36">IF(AF83=0," ",IF(AJ83&gt;20,(AF83-AE83)/AE83," "))</f>
        <v xml:space="preserve"> </v>
      </c>
      <c r="AH83" s="211" t="str">
        <f t="shared" ref="AH83:AH85" si="37">IF(AF83=0," ",IF(AJ83&gt;20,(AF83-AA83)/AA83," "))</f>
        <v xml:space="preserve"> </v>
      </c>
      <c r="AI83" s="212" t="str">
        <f t="shared" ref="AI83:AI85" si="38">IF(AF83=0," ",(IF(AJ83&gt;20,(AF83-V83)/V83," ")))</f>
        <v xml:space="preserve"> </v>
      </c>
      <c r="AJ83" s="223" t="str">
        <f t="shared" ref="AJ83:AJ85" si="39">IF(AD83&gt;0,AVERAGE(AD83:AF83),"  ")</f>
        <v xml:space="preserve">  </v>
      </c>
      <c r="AK83" s="86"/>
      <c r="AL83" s="86"/>
      <c r="AM83" s="91"/>
      <c r="AN83" s="91"/>
      <c r="AO83" s="91"/>
      <c r="AP83" s="91"/>
      <c r="AQ83" s="91"/>
      <c r="AR83" s="91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D83" s="29"/>
      <c r="CE83" s="29"/>
      <c r="CF83" s="29"/>
      <c r="CG83" s="29"/>
      <c r="CH83" s="29"/>
      <c r="CI83" s="29"/>
      <c r="CJ83" s="29"/>
      <c r="CK83" s="29"/>
      <c r="CL83" s="29"/>
      <c r="CM83" s="29"/>
      <c r="CN83" s="29"/>
      <c r="CO83" s="29"/>
      <c r="CP83" s="29"/>
      <c r="CQ83" s="29"/>
      <c r="CR83" s="29"/>
      <c r="CS83" s="29"/>
      <c r="CT83" s="29"/>
      <c r="CU83" s="29"/>
      <c r="CV83" s="29"/>
      <c r="CW83" s="29"/>
      <c r="CX83" s="29"/>
      <c r="CY83" s="29"/>
      <c r="CZ83" s="29"/>
      <c r="DA83" s="29"/>
      <c r="DB83" s="29"/>
      <c r="DC83" s="29"/>
      <c r="DD83" s="29"/>
      <c r="DE83" s="29"/>
      <c r="DF83" s="29"/>
      <c r="DG83" s="29"/>
      <c r="DH83" s="29"/>
      <c r="DI83" s="29"/>
      <c r="DJ83" s="29"/>
      <c r="DK83" s="29"/>
      <c r="DL83" s="29"/>
      <c r="DM83" s="29"/>
      <c r="DN83" s="29"/>
      <c r="DO83" s="29"/>
      <c r="DP83" s="29"/>
      <c r="DQ83" s="29"/>
      <c r="DR83" s="29"/>
      <c r="DS83" s="29"/>
      <c r="DT83" s="29"/>
      <c r="DU83" s="29"/>
      <c r="DV83" s="29"/>
      <c r="DW83" s="29"/>
      <c r="DX83" s="29"/>
      <c r="DY83" s="29"/>
      <c r="DZ83" s="29"/>
      <c r="EA83" s="29"/>
      <c r="EB83" s="29"/>
      <c r="EC83" s="29"/>
      <c r="ED83" s="29"/>
      <c r="EE83" s="29"/>
      <c r="EF83" s="29"/>
      <c r="EG83" s="29"/>
      <c r="EH83" s="29"/>
      <c r="EI83" s="29"/>
      <c r="EJ83" s="29"/>
      <c r="EK83" s="29"/>
      <c r="EL83" s="29"/>
      <c r="EM83" s="29"/>
      <c r="EN83" s="29"/>
      <c r="EO83" s="29"/>
      <c r="EP83" s="29"/>
      <c r="EQ83" s="29"/>
      <c r="ER83" s="29"/>
      <c r="ES83" s="29"/>
      <c r="ET83" s="29"/>
      <c r="EU83" s="29"/>
      <c r="EV83" s="29"/>
      <c r="EW83" s="29"/>
      <c r="EX83" s="29"/>
      <c r="EY83" s="29"/>
      <c r="EZ83" s="29"/>
      <c r="FA83" s="29"/>
      <c r="FB83" s="29"/>
      <c r="FC83" s="29"/>
      <c r="FD83" s="29"/>
      <c r="FE83" s="29"/>
      <c r="FF83" s="29"/>
      <c r="FG83" s="29"/>
      <c r="FH83" s="29"/>
      <c r="FI83" s="29"/>
      <c r="FJ83" s="29"/>
      <c r="FK83" s="29"/>
      <c r="FL83" s="29"/>
      <c r="FM83" s="29"/>
      <c r="FN83" s="29"/>
      <c r="FO83" s="29"/>
    </row>
    <row r="84" spans="1:171" ht="12" x14ac:dyDescent="0.25">
      <c r="A84" s="447" t="s">
        <v>163</v>
      </c>
      <c r="B84" s="74"/>
      <c r="C84" s="74"/>
      <c r="D84" s="74"/>
      <c r="E84" s="74"/>
      <c r="F84" s="74"/>
      <c r="G84" s="448"/>
      <c r="H84" s="7"/>
      <c r="I84" s="7">
        <v>7</v>
      </c>
      <c r="J84" s="449">
        <v>5</v>
      </c>
      <c r="K84" s="449">
        <v>9</v>
      </c>
      <c r="L84" s="450">
        <v>4</v>
      </c>
      <c r="M84" s="449">
        <v>12</v>
      </c>
      <c r="N84" s="7">
        <v>8</v>
      </c>
      <c r="O84" s="240">
        <v>11</v>
      </c>
      <c r="P84" s="240">
        <v>7</v>
      </c>
      <c r="Q84" s="451">
        <v>20</v>
      </c>
      <c r="R84" s="451">
        <v>22</v>
      </c>
      <c r="S84" s="312">
        <v>14</v>
      </c>
      <c r="T84" s="451">
        <v>25</v>
      </c>
      <c r="U84" s="529">
        <v>24</v>
      </c>
      <c r="V84" s="703">
        <v>18</v>
      </c>
      <c r="W84" s="452">
        <v>27</v>
      </c>
      <c r="X84" s="7">
        <v>20</v>
      </c>
      <c r="Y84" s="7">
        <v>4</v>
      </c>
      <c r="Z84" s="450">
        <v>16</v>
      </c>
      <c r="AA84" s="450">
        <v>12</v>
      </c>
      <c r="AB84" s="450">
        <v>13</v>
      </c>
      <c r="AC84" s="450">
        <v>13</v>
      </c>
      <c r="AD84" s="450">
        <v>11</v>
      </c>
      <c r="AE84" s="450">
        <v>12</v>
      </c>
      <c r="AF84" s="738">
        <v>8</v>
      </c>
      <c r="AG84" s="770" t="str">
        <f t="shared" si="36"/>
        <v xml:space="preserve"> </v>
      </c>
      <c r="AH84" s="177" t="str">
        <f t="shared" si="37"/>
        <v xml:space="preserve"> </v>
      </c>
      <c r="AI84" s="178" t="str">
        <f t="shared" si="38"/>
        <v xml:space="preserve"> </v>
      </c>
      <c r="AJ84" s="222">
        <f t="shared" si="39"/>
        <v>10.333333333333334</v>
      </c>
      <c r="AK84" s="86"/>
      <c r="AL84" s="86"/>
      <c r="AM84" s="91"/>
      <c r="AN84" s="91"/>
      <c r="AO84" s="91"/>
      <c r="AP84" s="91"/>
      <c r="AQ84" s="91"/>
      <c r="AR84" s="91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  <c r="BZ84" s="29"/>
      <c r="CA84" s="29"/>
      <c r="CB84" s="29"/>
      <c r="CC84" s="29"/>
      <c r="CD84" s="29"/>
      <c r="CE84" s="29"/>
      <c r="CF84" s="29"/>
      <c r="CG84" s="29"/>
      <c r="CH84" s="29"/>
      <c r="CI84" s="29"/>
      <c r="CJ84" s="29"/>
      <c r="CK84" s="29"/>
      <c r="CL84" s="29"/>
      <c r="CM84" s="29"/>
      <c r="CN84" s="29"/>
      <c r="CO84" s="29"/>
      <c r="CP84" s="29"/>
      <c r="CQ84" s="29"/>
      <c r="CR84" s="29"/>
      <c r="CS84" s="29"/>
      <c r="CT84" s="29"/>
      <c r="CU84" s="29"/>
      <c r="CV84" s="29"/>
      <c r="CW84" s="29"/>
      <c r="CX84" s="29"/>
      <c r="CY84" s="29"/>
      <c r="CZ84" s="29"/>
      <c r="DA84" s="29"/>
      <c r="DB84" s="29"/>
      <c r="DC84" s="29"/>
      <c r="DD84" s="29"/>
      <c r="DE84" s="29"/>
      <c r="DF84" s="29"/>
      <c r="DG84" s="29"/>
      <c r="DH84" s="29"/>
      <c r="DI84" s="29"/>
      <c r="DJ84" s="29"/>
      <c r="DK84" s="29"/>
      <c r="DL84" s="29"/>
      <c r="DM84" s="29"/>
      <c r="DN84" s="29"/>
      <c r="DO84" s="29"/>
      <c r="DP84" s="29"/>
      <c r="DQ84" s="29"/>
      <c r="DR84" s="29"/>
      <c r="DS84" s="29"/>
      <c r="DT84" s="29"/>
      <c r="DU84" s="29"/>
      <c r="DV84" s="29"/>
      <c r="DW84" s="29"/>
      <c r="DX84" s="29"/>
      <c r="DY84" s="29"/>
      <c r="DZ84" s="29"/>
      <c r="EA84" s="29"/>
      <c r="EB84" s="29"/>
      <c r="EC84" s="29"/>
      <c r="ED84" s="29"/>
      <c r="EE84" s="29"/>
      <c r="EF84" s="29"/>
      <c r="EG84" s="29"/>
      <c r="EH84" s="29"/>
      <c r="EI84" s="29"/>
      <c r="EJ84" s="29"/>
      <c r="EK84" s="29"/>
      <c r="EL84" s="29"/>
      <c r="EM84" s="29"/>
      <c r="EN84" s="29"/>
      <c r="EO84" s="29"/>
      <c r="EP84" s="29"/>
      <c r="EQ84" s="29"/>
      <c r="ER84" s="29"/>
      <c r="ES84" s="29"/>
      <c r="ET84" s="29"/>
      <c r="EU84" s="29"/>
      <c r="EV84" s="29"/>
      <c r="EW84" s="29"/>
      <c r="EX84" s="29"/>
      <c r="EY84" s="29"/>
      <c r="EZ84" s="29"/>
      <c r="FA84" s="29"/>
      <c r="FB84" s="29"/>
      <c r="FC84" s="29"/>
      <c r="FD84" s="29"/>
      <c r="FE84" s="29"/>
      <c r="FF84" s="29"/>
      <c r="FG84" s="29"/>
      <c r="FH84" s="29"/>
      <c r="FI84" s="29"/>
      <c r="FJ84" s="29"/>
      <c r="FK84" s="29"/>
      <c r="FL84" s="29"/>
      <c r="FM84" s="29"/>
      <c r="FN84" s="29"/>
      <c r="FO84" s="29"/>
    </row>
    <row r="85" spans="1:171" ht="12" x14ac:dyDescent="0.25">
      <c r="A85" s="440" t="s">
        <v>69</v>
      </c>
      <c r="B85" s="441">
        <f t="shared" ref="B85:AE85" si="40">+B83+B84</f>
        <v>0</v>
      </c>
      <c r="C85" s="441">
        <f t="shared" si="40"/>
        <v>0</v>
      </c>
      <c r="D85" s="441">
        <f t="shared" si="40"/>
        <v>0</v>
      </c>
      <c r="E85" s="441">
        <f t="shared" si="40"/>
        <v>0</v>
      </c>
      <c r="F85" s="441">
        <f t="shared" si="40"/>
        <v>0</v>
      </c>
      <c r="G85" s="441">
        <f t="shared" si="40"/>
        <v>0</v>
      </c>
      <c r="H85" s="441">
        <f t="shared" si="40"/>
        <v>0</v>
      </c>
      <c r="I85" s="441">
        <f t="shared" si="40"/>
        <v>7</v>
      </c>
      <c r="J85" s="441">
        <f t="shared" si="40"/>
        <v>5</v>
      </c>
      <c r="K85" s="441">
        <f t="shared" si="40"/>
        <v>9</v>
      </c>
      <c r="L85" s="441">
        <f t="shared" si="40"/>
        <v>4</v>
      </c>
      <c r="M85" s="441">
        <f t="shared" si="40"/>
        <v>12</v>
      </c>
      <c r="N85" s="441">
        <f t="shared" si="40"/>
        <v>8</v>
      </c>
      <c r="O85" s="442">
        <f t="shared" si="40"/>
        <v>11</v>
      </c>
      <c r="P85" s="442">
        <f t="shared" si="40"/>
        <v>7</v>
      </c>
      <c r="Q85" s="443">
        <f t="shared" si="40"/>
        <v>20</v>
      </c>
      <c r="R85" s="443">
        <f t="shared" si="40"/>
        <v>22</v>
      </c>
      <c r="S85" s="443">
        <f t="shared" si="40"/>
        <v>14</v>
      </c>
      <c r="T85" s="443">
        <f t="shared" si="40"/>
        <v>25</v>
      </c>
      <c r="U85" s="530">
        <f t="shared" si="40"/>
        <v>24</v>
      </c>
      <c r="V85" s="704">
        <f t="shared" si="40"/>
        <v>18</v>
      </c>
      <c r="W85" s="444">
        <f t="shared" si="40"/>
        <v>27</v>
      </c>
      <c r="X85" s="441">
        <f t="shared" si="40"/>
        <v>20</v>
      </c>
      <c r="Y85" s="441">
        <f t="shared" si="40"/>
        <v>7</v>
      </c>
      <c r="Z85" s="441">
        <f t="shared" si="40"/>
        <v>19</v>
      </c>
      <c r="AA85" s="441">
        <f t="shared" si="40"/>
        <v>21</v>
      </c>
      <c r="AB85" s="441">
        <f t="shared" si="40"/>
        <v>15</v>
      </c>
      <c r="AC85" s="441">
        <f t="shared" si="40"/>
        <v>19</v>
      </c>
      <c r="AD85" s="441">
        <f t="shared" si="40"/>
        <v>11</v>
      </c>
      <c r="AE85" s="441">
        <f t="shared" si="40"/>
        <v>12</v>
      </c>
      <c r="AF85" s="739">
        <f>+AF84+AF83</f>
        <v>8</v>
      </c>
      <c r="AG85" s="771" t="str">
        <f t="shared" si="36"/>
        <v xml:space="preserve"> </v>
      </c>
      <c r="AH85" s="445" t="str">
        <f t="shared" si="37"/>
        <v xml:space="preserve"> </v>
      </c>
      <c r="AI85" s="446" t="str">
        <f t="shared" si="38"/>
        <v xml:space="preserve"> </v>
      </c>
      <c r="AJ85" s="441">
        <f t="shared" si="39"/>
        <v>10.333333333333334</v>
      </c>
      <c r="AK85" s="86"/>
      <c r="AL85" s="86"/>
      <c r="AM85" s="91"/>
      <c r="AN85" s="91"/>
      <c r="AO85" s="91"/>
      <c r="AP85" s="91"/>
      <c r="AQ85" s="91"/>
      <c r="AR85" s="91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 s="29"/>
      <c r="CG85" s="29"/>
      <c r="CH85" s="29"/>
      <c r="CI85" s="29"/>
      <c r="CJ85" s="29"/>
      <c r="CK85" s="29"/>
      <c r="CL85" s="29"/>
      <c r="CM85" s="29"/>
      <c r="CN85" s="29"/>
      <c r="CO85" s="29"/>
      <c r="CP85" s="29"/>
      <c r="CQ85" s="29"/>
      <c r="CR85" s="29"/>
      <c r="CS85" s="29"/>
      <c r="CT85" s="29"/>
      <c r="CU85" s="29"/>
      <c r="CV85" s="29"/>
      <c r="CW85" s="29"/>
      <c r="CX85" s="29"/>
      <c r="CY85" s="29"/>
      <c r="CZ85" s="29"/>
      <c r="DA85" s="29"/>
      <c r="DB85" s="29"/>
      <c r="DC85" s="29"/>
      <c r="DD85" s="29"/>
      <c r="DE85" s="29"/>
      <c r="DF85" s="29"/>
      <c r="DG85" s="29"/>
      <c r="DH85" s="29"/>
      <c r="DI85" s="29"/>
      <c r="DJ85" s="29"/>
      <c r="DK85" s="29"/>
      <c r="DL85" s="29"/>
      <c r="DM85" s="29"/>
      <c r="DN85" s="29"/>
      <c r="DO85" s="29"/>
      <c r="DP85" s="29"/>
      <c r="DQ85" s="29"/>
      <c r="DR85" s="29"/>
      <c r="DS85" s="29"/>
      <c r="DT85" s="29"/>
      <c r="DU85" s="29"/>
      <c r="DV85" s="29"/>
      <c r="DW85" s="29"/>
      <c r="DX85" s="29"/>
      <c r="DY85" s="29"/>
      <c r="DZ85" s="29"/>
      <c r="EA85" s="29"/>
      <c r="EB85" s="29"/>
      <c r="EC85" s="29"/>
      <c r="ED85" s="29"/>
      <c r="EE85" s="29"/>
      <c r="EF85" s="29"/>
      <c r="EG85" s="29"/>
      <c r="EH85" s="29"/>
      <c r="EI85" s="29"/>
      <c r="EJ85" s="29"/>
      <c r="EK85" s="29"/>
      <c r="EL85" s="29"/>
      <c r="EM85" s="29"/>
      <c r="EN85" s="29"/>
      <c r="EO85" s="29"/>
      <c r="EP85" s="29"/>
      <c r="EQ85" s="29"/>
      <c r="ER85" s="29"/>
      <c r="ES85" s="29"/>
      <c r="ET85" s="29"/>
      <c r="EU85" s="29"/>
      <c r="EV85" s="29"/>
      <c r="EW85" s="29"/>
      <c r="EX85" s="29"/>
      <c r="EY85" s="29"/>
      <c r="EZ85" s="29"/>
      <c r="FA85" s="29"/>
      <c r="FB85" s="29"/>
      <c r="FC85" s="29"/>
      <c r="FD85" s="29"/>
      <c r="FE85" s="29"/>
      <c r="FF85" s="29"/>
      <c r="FG85" s="29"/>
      <c r="FH85" s="29"/>
      <c r="FI85" s="29"/>
      <c r="FJ85" s="29"/>
      <c r="FK85" s="29"/>
      <c r="FL85" s="29"/>
      <c r="FM85" s="29"/>
      <c r="FN85" s="29"/>
      <c r="FO85" s="29"/>
    </row>
    <row r="86" spans="1:171" ht="12" x14ac:dyDescent="0.25">
      <c r="A86" s="490" t="s">
        <v>70</v>
      </c>
      <c r="B86" s="491"/>
      <c r="C86" s="491"/>
      <c r="D86" s="491"/>
      <c r="E86" s="491"/>
      <c r="F86" s="491"/>
      <c r="G86" s="491"/>
      <c r="H86" s="491"/>
      <c r="I86" s="491"/>
      <c r="J86" s="491"/>
      <c r="K86" s="491"/>
      <c r="L86" s="491"/>
      <c r="M86" s="491"/>
      <c r="N86" s="491"/>
      <c r="O86" s="491"/>
      <c r="P86" s="491"/>
      <c r="Q86" s="491"/>
      <c r="R86" s="491"/>
      <c r="S86" s="491"/>
      <c r="T86" s="491"/>
      <c r="U86" s="491"/>
      <c r="V86" s="491"/>
      <c r="W86" s="491"/>
      <c r="X86" s="491"/>
      <c r="Y86" s="491"/>
      <c r="Z86" s="491"/>
      <c r="AA86" s="491"/>
      <c r="AB86" s="491"/>
      <c r="AC86" s="491"/>
      <c r="AD86" s="491"/>
      <c r="AE86" s="491"/>
      <c r="AF86" s="491"/>
      <c r="AG86" s="491"/>
      <c r="AH86" s="491"/>
      <c r="AI86" s="491"/>
      <c r="AJ86" s="492"/>
      <c r="AK86" s="86"/>
      <c r="AL86" s="86"/>
      <c r="AM86" s="91"/>
      <c r="AN86" s="91"/>
      <c r="AO86" s="91"/>
      <c r="AP86" s="91"/>
      <c r="AQ86" s="91"/>
      <c r="AR86" s="91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  <c r="CH86" s="29"/>
      <c r="CI86" s="29"/>
      <c r="CJ86" s="29"/>
      <c r="CK86" s="29"/>
      <c r="CL86" s="29"/>
      <c r="CM86" s="29"/>
      <c r="CN86" s="29"/>
      <c r="CO86" s="29"/>
      <c r="CP86" s="29"/>
      <c r="CQ86" s="29"/>
      <c r="CR86" s="29"/>
      <c r="CS86" s="29"/>
      <c r="CT86" s="29"/>
      <c r="CU86" s="29"/>
      <c r="CV86" s="29"/>
      <c r="CW86" s="29"/>
      <c r="CX86" s="29"/>
      <c r="CY86" s="29"/>
      <c r="CZ86" s="29"/>
      <c r="DA86" s="29"/>
      <c r="DB86" s="29"/>
      <c r="DC86" s="29"/>
      <c r="DD86" s="29"/>
      <c r="DE86" s="29"/>
      <c r="DF86" s="29"/>
      <c r="DG86" s="29"/>
      <c r="DH86" s="29"/>
      <c r="DI86" s="29"/>
      <c r="DJ86" s="29"/>
      <c r="DK86" s="29"/>
      <c r="DL86" s="29"/>
      <c r="DM86" s="29"/>
      <c r="DN86" s="29"/>
      <c r="DO86" s="29"/>
      <c r="DP86" s="29"/>
      <c r="DQ86" s="29"/>
      <c r="DR86" s="29"/>
      <c r="DS86" s="29"/>
      <c r="DT86" s="29"/>
      <c r="DU86" s="29"/>
      <c r="DV86" s="29"/>
      <c r="DW86" s="29"/>
      <c r="DX86" s="29"/>
      <c r="DY86" s="29"/>
      <c r="DZ86" s="29"/>
      <c r="EA86" s="29"/>
      <c r="EB86" s="29"/>
      <c r="EC86" s="29"/>
      <c r="ED86" s="29"/>
      <c r="EE86" s="29"/>
      <c r="EF86" s="29"/>
      <c r="EG86" s="29"/>
      <c r="EH86" s="29"/>
      <c r="EI86" s="29"/>
      <c r="EJ86" s="29"/>
      <c r="EK86" s="29"/>
      <c r="EL86" s="29"/>
      <c r="EM86" s="29"/>
      <c r="EN86" s="29"/>
      <c r="EO86" s="29"/>
      <c r="EP86" s="29"/>
      <c r="EQ86" s="29"/>
      <c r="ER86" s="29"/>
      <c r="ES86" s="29"/>
      <c r="ET86" s="29"/>
      <c r="EU86" s="29"/>
      <c r="EV86" s="29"/>
      <c r="EW86" s="29"/>
      <c r="EX86" s="29"/>
      <c r="EY86" s="29"/>
      <c r="EZ86" s="29"/>
      <c r="FA86" s="29"/>
      <c r="FB86" s="29"/>
      <c r="FC86" s="29"/>
      <c r="FD86" s="29"/>
      <c r="FE86" s="29"/>
      <c r="FF86" s="29"/>
      <c r="FG86" s="29"/>
      <c r="FH86" s="29"/>
      <c r="FI86" s="29"/>
      <c r="FJ86" s="29"/>
      <c r="FK86" s="29"/>
      <c r="FL86" s="29"/>
      <c r="FM86" s="29"/>
      <c r="FN86" s="29"/>
      <c r="FO86" s="29"/>
    </row>
    <row r="87" spans="1:171" ht="12" x14ac:dyDescent="0.25">
      <c r="A87" s="349" t="s">
        <v>175</v>
      </c>
      <c r="B87" s="136"/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29"/>
      <c r="N87" s="129"/>
      <c r="O87" s="267"/>
      <c r="P87" s="267"/>
      <c r="Q87" s="298"/>
      <c r="R87" s="298">
        <v>0</v>
      </c>
      <c r="S87" s="298"/>
      <c r="T87" s="298">
        <v>0</v>
      </c>
      <c r="U87" s="488"/>
      <c r="V87" s="705">
        <v>8</v>
      </c>
      <c r="W87" s="169">
        <v>0</v>
      </c>
      <c r="X87" s="89">
        <v>1</v>
      </c>
      <c r="Y87" s="89">
        <v>7</v>
      </c>
      <c r="Z87" s="129">
        <v>7</v>
      </c>
      <c r="AA87" s="129">
        <v>9</v>
      </c>
      <c r="AB87" s="129">
        <v>5</v>
      </c>
      <c r="AC87" s="129">
        <v>14</v>
      </c>
      <c r="AD87" s="129">
        <v>8</v>
      </c>
      <c r="AE87" s="129">
        <v>4</v>
      </c>
      <c r="AF87" s="740">
        <v>2</v>
      </c>
      <c r="AG87" s="761" t="str">
        <f t="shared" ref="AG87:AG91" si="41">IF(AF87=0," ",IF(AJ87&gt;20,(AF87-AE87)/AE87," "))</f>
        <v xml:space="preserve"> </v>
      </c>
      <c r="AH87" s="305" t="str">
        <f t="shared" ref="AH87:AH91" si="42">IF(AF87=0," ",IF(AJ87&gt;20,(AF87-AA87)/AA87," "))</f>
        <v xml:space="preserve"> </v>
      </c>
      <c r="AI87" s="306" t="str">
        <f t="shared" ref="AI87:AI91" si="43">IF(AF87=0," ",(IF(AJ87&gt;20,(AF87-V87)/V87," ")))</f>
        <v xml:space="preserve"> </v>
      </c>
      <c r="AJ87" s="223">
        <f t="shared" ref="AJ87:AJ91" si="44">IF(AD87&gt;0,AVERAGE(AD87:AF87),"  ")</f>
        <v>4.666666666666667</v>
      </c>
      <c r="AK87" s="86"/>
      <c r="AL87" s="86"/>
      <c r="AM87" s="91"/>
      <c r="AN87" s="91"/>
      <c r="AO87" s="91"/>
      <c r="AP87" s="91"/>
      <c r="AQ87" s="91"/>
      <c r="AR87" s="91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29"/>
      <c r="CJ87" s="29"/>
      <c r="CK87" s="29"/>
      <c r="CL87" s="29"/>
      <c r="CM87" s="29"/>
      <c r="CN87" s="29"/>
      <c r="CO87" s="29"/>
      <c r="CP87" s="29"/>
      <c r="CQ87" s="29"/>
      <c r="CR87" s="29"/>
      <c r="CS87" s="29"/>
      <c r="CT87" s="29"/>
      <c r="CU87" s="29"/>
      <c r="CV87" s="29"/>
      <c r="CW87" s="29"/>
      <c r="CX87" s="29"/>
      <c r="CY87" s="29"/>
      <c r="CZ87" s="29"/>
      <c r="DA87" s="29"/>
      <c r="DB87" s="29"/>
      <c r="DC87" s="29"/>
      <c r="DD87" s="29"/>
      <c r="DE87" s="29"/>
      <c r="DF87" s="29"/>
      <c r="DG87" s="29"/>
      <c r="DH87" s="29"/>
      <c r="DI87" s="29"/>
      <c r="DJ87" s="29"/>
      <c r="DK87" s="29"/>
      <c r="DL87" s="29"/>
      <c r="DM87" s="29"/>
      <c r="DN87" s="29"/>
      <c r="DO87" s="29"/>
      <c r="DP87" s="29"/>
      <c r="DQ87" s="29"/>
      <c r="DR87" s="29"/>
      <c r="DS87" s="29"/>
      <c r="DT87" s="29"/>
      <c r="DU87" s="29"/>
      <c r="DV87" s="29"/>
      <c r="DW87" s="29"/>
      <c r="DX87" s="29"/>
      <c r="DY87" s="29"/>
      <c r="DZ87" s="29"/>
      <c r="EA87" s="29"/>
      <c r="EB87" s="29"/>
      <c r="EC87" s="29"/>
      <c r="ED87" s="29"/>
      <c r="EE87" s="29"/>
      <c r="EF87" s="29"/>
      <c r="EG87" s="29"/>
      <c r="EH87" s="29"/>
      <c r="EI87" s="29"/>
      <c r="EJ87" s="29"/>
      <c r="EK87" s="29"/>
      <c r="EL87" s="29"/>
      <c r="EM87" s="29"/>
      <c r="EN87" s="29"/>
      <c r="EO87" s="29"/>
      <c r="EP87" s="29"/>
      <c r="EQ87" s="29"/>
      <c r="ER87" s="29"/>
      <c r="ES87" s="29"/>
      <c r="ET87" s="29"/>
      <c r="EU87" s="29"/>
      <c r="EV87" s="29"/>
      <c r="EW87" s="29"/>
      <c r="EX87" s="29"/>
      <c r="EY87" s="29"/>
      <c r="EZ87" s="29"/>
      <c r="FA87" s="29"/>
      <c r="FB87" s="29"/>
      <c r="FC87" s="29"/>
      <c r="FD87" s="29"/>
      <c r="FE87" s="29"/>
      <c r="FF87" s="29"/>
      <c r="FG87" s="29"/>
      <c r="FH87" s="29"/>
      <c r="FI87" s="29"/>
      <c r="FJ87" s="29"/>
      <c r="FK87" s="29"/>
      <c r="FL87" s="29"/>
      <c r="FM87" s="29"/>
      <c r="FN87" s="29"/>
      <c r="FO87" s="29"/>
    </row>
    <row r="88" spans="1:171" ht="12" x14ac:dyDescent="0.25">
      <c r="A88" s="385" t="s">
        <v>174</v>
      </c>
      <c r="B88" s="233"/>
      <c r="C88" s="233"/>
      <c r="D88" s="233"/>
      <c r="E88" s="233"/>
      <c r="F88" s="233"/>
      <c r="G88" s="233"/>
      <c r="H88" s="233"/>
      <c r="I88" s="233"/>
      <c r="J88" s="233"/>
      <c r="K88" s="233"/>
      <c r="L88" s="233"/>
      <c r="M88" s="234"/>
      <c r="N88" s="234"/>
      <c r="O88" s="260"/>
      <c r="P88" s="260"/>
      <c r="Q88" s="294"/>
      <c r="R88" s="294"/>
      <c r="S88" s="294"/>
      <c r="T88" s="294"/>
      <c r="U88" s="488"/>
      <c r="V88" s="706"/>
      <c r="W88" s="612"/>
      <c r="X88" s="613"/>
      <c r="Y88" s="614"/>
      <c r="Z88" s="615"/>
      <c r="AA88" s="616"/>
      <c r="AB88" s="617"/>
      <c r="AC88" s="617"/>
      <c r="AD88" s="615"/>
      <c r="AE88" s="236">
        <v>1</v>
      </c>
      <c r="AF88" s="741">
        <v>0</v>
      </c>
      <c r="AG88" s="772" t="str">
        <f t="shared" si="41"/>
        <v xml:space="preserve"> </v>
      </c>
      <c r="AH88" s="173" t="str">
        <f t="shared" si="42"/>
        <v xml:space="preserve"> </v>
      </c>
      <c r="AI88" s="174" t="str">
        <f t="shared" si="43"/>
        <v xml:space="preserve"> </v>
      </c>
      <c r="AJ88" s="120" t="str">
        <f t="shared" si="44"/>
        <v xml:space="preserve">  </v>
      </c>
      <c r="AK88" s="86"/>
      <c r="AL88" s="86"/>
      <c r="AM88" s="91"/>
      <c r="AN88" s="91"/>
      <c r="AO88" s="91"/>
      <c r="AP88" s="91"/>
      <c r="AQ88" s="91"/>
      <c r="AR88" s="91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  <c r="CO88" s="29"/>
      <c r="CP88" s="29"/>
      <c r="CQ88" s="29"/>
      <c r="CR88" s="29"/>
      <c r="CS88" s="29"/>
      <c r="CT88" s="29"/>
      <c r="CU88" s="29"/>
      <c r="CV88" s="29"/>
      <c r="CW88" s="29"/>
      <c r="CX88" s="29"/>
      <c r="CY88" s="29"/>
      <c r="CZ88" s="29"/>
      <c r="DA88" s="29"/>
      <c r="DB88" s="29"/>
      <c r="DC88" s="29"/>
      <c r="DD88" s="29"/>
      <c r="DE88" s="29"/>
      <c r="DF88" s="29"/>
      <c r="DG88" s="29"/>
      <c r="DH88" s="29"/>
      <c r="DI88" s="29"/>
      <c r="DJ88" s="29"/>
      <c r="DK88" s="29"/>
      <c r="DL88" s="29"/>
      <c r="DM88" s="29"/>
      <c r="DN88" s="29"/>
      <c r="DO88" s="29"/>
      <c r="DP88" s="29"/>
      <c r="DQ88" s="29"/>
      <c r="DR88" s="29"/>
      <c r="DS88" s="29"/>
      <c r="DT88" s="29"/>
      <c r="DU88" s="29"/>
      <c r="DV88" s="29"/>
      <c r="DW88" s="29"/>
      <c r="DX88" s="29"/>
      <c r="DY88" s="29"/>
      <c r="DZ88" s="29"/>
      <c r="EA88" s="29"/>
      <c r="EB88" s="29"/>
      <c r="EC88" s="29"/>
      <c r="ED88" s="29"/>
      <c r="EE88" s="29"/>
      <c r="EF88" s="29"/>
      <c r="EG88" s="29"/>
      <c r="EH88" s="29"/>
      <c r="EI88" s="29"/>
      <c r="EJ88" s="29"/>
      <c r="EK88" s="29"/>
      <c r="EL88" s="29"/>
      <c r="EM88" s="29"/>
      <c r="EN88" s="29"/>
      <c r="EO88" s="29"/>
      <c r="EP88" s="29"/>
      <c r="EQ88" s="29"/>
      <c r="ER88" s="29"/>
      <c r="ES88" s="29"/>
      <c r="ET88" s="29"/>
      <c r="EU88" s="29"/>
      <c r="EV88" s="29"/>
      <c r="EW88" s="29"/>
      <c r="EX88" s="29"/>
      <c r="EY88" s="29"/>
      <c r="EZ88" s="29"/>
      <c r="FA88" s="29"/>
      <c r="FB88" s="29"/>
      <c r="FC88" s="29"/>
      <c r="FD88" s="29"/>
      <c r="FE88" s="29"/>
      <c r="FF88" s="29"/>
      <c r="FG88" s="29"/>
      <c r="FH88" s="29"/>
      <c r="FI88" s="29"/>
      <c r="FJ88" s="29"/>
      <c r="FK88" s="29"/>
      <c r="FL88" s="29"/>
      <c r="FM88" s="29"/>
      <c r="FN88" s="29"/>
      <c r="FO88" s="29"/>
    </row>
    <row r="89" spans="1:171" s="387" customFormat="1" ht="12" x14ac:dyDescent="0.25">
      <c r="A89" s="385" t="s">
        <v>132</v>
      </c>
      <c r="B89" s="233"/>
      <c r="C89" s="233"/>
      <c r="D89" s="233"/>
      <c r="E89" s="233"/>
      <c r="F89" s="233"/>
      <c r="G89" s="233"/>
      <c r="H89" s="233"/>
      <c r="I89" s="233"/>
      <c r="J89" s="233"/>
      <c r="K89" s="233"/>
      <c r="L89" s="233"/>
      <c r="M89" s="234"/>
      <c r="N89" s="234"/>
      <c r="O89" s="260"/>
      <c r="P89" s="260"/>
      <c r="Q89" s="294"/>
      <c r="R89" s="294">
        <v>0</v>
      </c>
      <c r="S89" s="294"/>
      <c r="T89" s="294">
        <v>0</v>
      </c>
      <c r="U89" s="531">
        <v>5</v>
      </c>
      <c r="V89" s="707">
        <v>0</v>
      </c>
      <c r="W89" s="235">
        <v>0</v>
      </c>
      <c r="X89" s="236">
        <v>0</v>
      </c>
      <c r="Y89" s="236">
        <v>7</v>
      </c>
      <c r="Z89" s="234">
        <v>0</v>
      </c>
      <c r="AA89" s="234">
        <v>0</v>
      </c>
      <c r="AB89" s="234">
        <v>0</v>
      </c>
      <c r="AC89" s="234">
        <v>0</v>
      </c>
      <c r="AD89" s="234">
        <v>0</v>
      </c>
      <c r="AE89" s="234">
        <v>0</v>
      </c>
      <c r="AF89" s="741">
        <v>1</v>
      </c>
      <c r="AG89" s="772"/>
      <c r="AH89" s="173"/>
      <c r="AI89" s="174"/>
      <c r="AJ89" s="120" t="str">
        <f t="shared" si="44"/>
        <v xml:space="preserve">  </v>
      </c>
      <c r="AK89" s="386"/>
      <c r="AL89" s="386"/>
      <c r="AM89" s="386"/>
      <c r="AN89" s="386"/>
      <c r="AO89" s="386"/>
      <c r="AP89" s="386"/>
      <c r="AQ89" s="386"/>
      <c r="AR89" s="386"/>
    </row>
    <row r="90" spans="1:171" ht="12" x14ac:dyDescent="0.25">
      <c r="A90" s="447" t="s">
        <v>133</v>
      </c>
      <c r="B90" s="74">
        <v>10</v>
      </c>
      <c r="C90" s="470">
        <v>5</v>
      </c>
      <c r="D90" s="74">
        <v>10</v>
      </c>
      <c r="E90" s="74">
        <v>7</v>
      </c>
      <c r="F90" s="74">
        <v>11</v>
      </c>
      <c r="G90" s="74">
        <v>13</v>
      </c>
      <c r="H90" s="7">
        <v>8</v>
      </c>
      <c r="I90" s="7">
        <v>5</v>
      </c>
      <c r="J90" s="75">
        <v>6</v>
      </c>
      <c r="K90" s="74">
        <f>1+5</f>
        <v>6</v>
      </c>
      <c r="L90" s="74">
        <v>7</v>
      </c>
      <c r="M90" s="74">
        <v>7</v>
      </c>
      <c r="N90" s="7">
        <v>2</v>
      </c>
      <c r="O90" s="240">
        <v>8</v>
      </c>
      <c r="P90" s="240">
        <v>4</v>
      </c>
      <c r="Q90" s="281">
        <v>4</v>
      </c>
      <c r="R90" s="281">
        <v>14</v>
      </c>
      <c r="S90" s="312">
        <v>8</v>
      </c>
      <c r="T90" s="281">
        <v>17</v>
      </c>
      <c r="U90" s="503">
        <v>6</v>
      </c>
      <c r="V90" s="682">
        <v>6</v>
      </c>
      <c r="W90" s="250">
        <v>3</v>
      </c>
      <c r="X90" s="7">
        <v>1</v>
      </c>
      <c r="Y90" s="7">
        <v>2</v>
      </c>
      <c r="Z90" s="75">
        <v>0</v>
      </c>
      <c r="AA90" s="75">
        <v>0</v>
      </c>
      <c r="AB90" s="75">
        <v>1</v>
      </c>
      <c r="AC90" s="75">
        <v>0</v>
      </c>
      <c r="AD90" s="75">
        <v>2</v>
      </c>
      <c r="AE90" s="75">
        <v>1</v>
      </c>
      <c r="AF90" s="730">
        <v>2</v>
      </c>
      <c r="AG90" s="770" t="str">
        <f t="shared" si="41"/>
        <v xml:space="preserve"> </v>
      </c>
      <c r="AH90" s="177" t="str">
        <f t="shared" si="42"/>
        <v xml:space="preserve"> </v>
      </c>
      <c r="AI90" s="178" t="str">
        <f t="shared" si="43"/>
        <v xml:space="preserve"> </v>
      </c>
      <c r="AJ90" s="222">
        <f t="shared" si="44"/>
        <v>1.6666666666666667</v>
      </c>
      <c r="AK90" s="86"/>
      <c r="AL90" s="86"/>
      <c r="AM90" s="91"/>
      <c r="AN90" s="91"/>
      <c r="AO90" s="91"/>
      <c r="AP90" s="91"/>
      <c r="AQ90" s="91"/>
      <c r="AR90" s="91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  <c r="CF90" s="29"/>
      <c r="CG90" s="29"/>
      <c r="CH90" s="29"/>
      <c r="CI90" s="29"/>
      <c r="CJ90" s="29"/>
      <c r="CK90" s="29"/>
      <c r="CL90" s="29"/>
      <c r="CM90" s="29"/>
      <c r="CN90" s="29"/>
      <c r="CO90" s="29"/>
      <c r="CP90" s="29"/>
      <c r="CQ90" s="29"/>
      <c r="CR90" s="29"/>
      <c r="CS90" s="29"/>
      <c r="CT90" s="29"/>
      <c r="CU90" s="29"/>
      <c r="CV90" s="29"/>
      <c r="CW90" s="29"/>
      <c r="CX90" s="29"/>
      <c r="CY90" s="29"/>
      <c r="CZ90" s="29"/>
      <c r="DA90" s="29"/>
      <c r="DB90" s="29"/>
      <c r="DC90" s="29"/>
      <c r="DD90" s="29"/>
      <c r="DE90" s="29"/>
      <c r="DF90" s="29"/>
      <c r="DG90" s="29"/>
      <c r="DH90" s="29"/>
      <c r="DI90" s="29"/>
      <c r="DJ90" s="29"/>
      <c r="DK90" s="29"/>
      <c r="DL90" s="29"/>
      <c r="DM90" s="29"/>
      <c r="DN90" s="29"/>
      <c r="DO90" s="29"/>
      <c r="DP90" s="29"/>
      <c r="DQ90" s="29"/>
      <c r="DR90" s="29"/>
      <c r="DS90" s="29"/>
      <c r="DT90" s="29"/>
      <c r="DU90" s="29"/>
      <c r="DV90" s="29"/>
      <c r="DW90" s="29"/>
      <c r="DX90" s="29"/>
      <c r="DY90" s="29"/>
      <c r="DZ90" s="29"/>
      <c r="EA90" s="29"/>
      <c r="EB90" s="29"/>
      <c r="EC90" s="29"/>
      <c r="ED90" s="29"/>
      <c r="EE90" s="29"/>
      <c r="EF90" s="29"/>
      <c r="EG90" s="29"/>
      <c r="EH90" s="29"/>
      <c r="EI90" s="29"/>
      <c r="EJ90" s="29"/>
      <c r="EK90" s="29"/>
      <c r="EL90" s="29"/>
      <c r="EM90" s="29"/>
      <c r="EN90" s="29"/>
      <c r="EO90" s="29"/>
      <c r="EP90" s="29"/>
      <c r="EQ90" s="29"/>
      <c r="ER90" s="29"/>
      <c r="ES90" s="29"/>
      <c r="ET90" s="29"/>
      <c r="EU90" s="29"/>
      <c r="EV90" s="29"/>
      <c r="EW90" s="29"/>
      <c r="EX90" s="29"/>
      <c r="EY90" s="29"/>
      <c r="EZ90" s="29"/>
      <c r="FA90" s="29"/>
      <c r="FB90" s="29"/>
      <c r="FC90" s="29"/>
      <c r="FD90" s="29"/>
      <c r="FE90" s="29"/>
      <c r="FF90" s="29"/>
      <c r="FG90" s="29"/>
      <c r="FH90" s="29"/>
      <c r="FI90" s="29"/>
      <c r="FJ90" s="29"/>
      <c r="FK90" s="29"/>
      <c r="FL90" s="29"/>
      <c r="FM90" s="29"/>
      <c r="FN90" s="29"/>
      <c r="FO90" s="29"/>
    </row>
    <row r="91" spans="1:171" ht="12" x14ac:dyDescent="0.25">
      <c r="A91" s="440" t="s">
        <v>83</v>
      </c>
      <c r="B91" s="441">
        <f t="shared" ref="B91:T91" si="45">+B87+B90+B89</f>
        <v>10</v>
      </c>
      <c r="C91" s="441">
        <f t="shared" si="45"/>
        <v>5</v>
      </c>
      <c r="D91" s="441">
        <f t="shared" si="45"/>
        <v>10</v>
      </c>
      <c r="E91" s="441">
        <f t="shared" si="45"/>
        <v>7</v>
      </c>
      <c r="F91" s="441">
        <f t="shared" si="45"/>
        <v>11</v>
      </c>
      <c r="G91" s="441">
        <f t="shared" si="45"/>
        <v>13</v>
      </c>
      <c r="H91" s="441">
        <f t="shared" si="45"/>
        <v>8</v>
      </c>
      <c r="I91" s="441">
        <f t="shared" si="45"/>
        <v>5</v>
      </c>
      <c r="J91" s="441">
        <f t="shared" si="45"/>
        <v>6</v>
      </c>
      <c r="K91" s="441">
        <f t="shared" si="45"/>
        <v>6</v>
      </c>
      <c r="L91" s="441">
        <f t="shared" si="45"/>
        <v>7</v>
      </c>
      <c r="M91" s="441">
        <f t="shared" si="45"/>
        <v>7</v>
      </c>
      <c r="N91" s="441">
        <f t="shared" si="45"/>
        <v>2</v>
      </c>
      <c r="O91" s="442">
        <f t="shared" si="45"/>
        <v>8</v>
      </c>
      <c r="P91" s="442">
        <f t="shared" si="45"/>
        <v>4</v>
      </c>
      <c r="Q91" s="443">
        <f t="shared" si="45"/>
        <v>4</v>
      </c>
      <c r="R91" s="443">
        <f t="shared" si="45"/>
        <v>14</v>
      </c>
      <c r="S91" s="443">
        <f t="shared" si="45"/>
        <v>8</v>
      </c>
      <c r="T91" s="443">
        <f t="shared" si="45"/>
        <v>17</v>
      </c>
      <c r="U91" s="530">
        <f>SUM(U87:U90)</f>
        <v>11</v>
      </c>
      <c r="V91" s="704">
        <f t="shared" ref="V91:AF91" si="46">SUM(V87:V90)</f>
        <v>14</v>
      </c>
      <c r="W91" s="444">
        <f t="shared" si="46"/>
        <v>3</v>
      </c>
      <c r="X91" s="441">
        <f t="shared" si="46"/>
        <v>2</v>
      </c>
      <c r="Y91" s="441">
        <f t="shared" si="46"/>
        <v>16</v>
      </c>
      <c r="Z91" s="441">
        <f t="shared" si="46"/>
        <v>7</v>
      </c>
      <c r="AA91" s="441">
        <f t="shared" si="46"/>
        <v>9</v>
      </c>
      <c r="AB91" s="441">
        <f t="shared" si="46"/>
        <v>6</v>
      </c>
      <c r="AC91" s="441">
        <f t="shared" si="46"/>
        <v>14</v>
      </c>
      <c r="AD91" s="441">
        <f t="shared" si="46"/>
        <v>10</v>
      </c>
      <c r="AE91" s="441">
        <f t="shared" si="46"/>
        <v>6</v>
      </c>
      <c r="AF91" s="442">
        <f t="shared" si="46"/>
        <v>5</v>
      </c>
      <c r="AG91" s="773" t="str">
        <f t="shared" si="41"/>
        <v xml:space="preserve"> </v>
      </c>
      <c r="AH91" s="477" t="str">
        <f t="shared" si="42"/>
        <v xml:space="preserve"> </v>
      </c>
      <c r="AI91" s="477" t="str">
        <f t="shared" si="43"/>
        <v xml:space="preserve"> </v>
      </c>
      <c r="AJ91" s="441">
        <f t="shared" si="44"/>
        <v>7</v>
      </c>
      <c r="AK91" s="86"/>
      <c r="AL91" s="86"/>
      <c r="AM91" s="91"/>
      <c r="AN91" s="91"/>
      <c r="AO91" s="91"/>
      <c r="AP91" s="91"/>
      <c r="AQ91" s="91"/>
      <c r="AR91" s="91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29"/>
      <c r="CI91" s="29"/>
      <c r="CJ91" s="29"/>
      <c r="CK91" s="29"/>
      <c r="CL91" s="29"/>
      <c r="CM91" s="29"/>
      <c r="CN91" s="29"/>
      <c r="CO91" s="29"/>
      <c r="CP91" s="29"/>
      <c r="CQ91" s="29"/>
      <c r="CR91" s="29"/>
      <c r="CS91" s="29"/>
      <c r="CT91" s="29"/>
      <c r="CU91" s="29"/>
      <c r="CV91" s="29"/>
      <c r="CW91" s="29"/>
      <c r="CX91" s="29"/>
      <c r="CY91" s="29"/>
      <c r="CZ91" s="29"/>
      <c r="DA91" s="29"/>
      <c r="DB91" s="29"/>
      <c r="DC91" s="29"/>
      <c r="DD91" s="29"/>
      <c r="DE91" s="29"/>
      <c r="DF91" s="29"/>
      <c r="DG91" s="29"/>
      <c r="DH91" s="29"/>
      <c r="DI91" s="29"/>
      <c r="DJ91" s="29"/>
      <c r="DK91" s="29"/>
      <c r="DL91" s="29"/>
      <c r="DM91" s="29"/>
      <c r="DN91" s="29"/>
      <c r="DO91" s="29"/>
      <c r="DP91" s="29"/>
      <c r="DQ91" s="29"/>
      <c r="DR91" s="29"/>
      <c r="DS91" s="29"/>
      <c r="DT91" s="29"/>
      <c r="DU91" s="29"/>
      <c r="DV91" s="29"/>
      <c r="DW91" s="29"/>
      <c r="DX91" s="29"/>
      <c r="DY91" s="29"/>
      <c r="DZ91" s="29"/>
      <c r="EA91" s="29"/>
      <c r="EB91" s="29"/>
      <c r="EC91" s="29"/>
      <c r="ED91" s="29"/>
      <c r="EE91" s="29"/>
      <c r="EF91" s="29"/>
      <c r="EG91" s="29"/>
      <c r="EH91" s="29"/>
      <c r="EI91" s="29"/>
      <c r="EJ91" s="29"/>
      <c r="EK91" s="29"/>
      <c r="EL91" s="29"/>
      <c r="EM91" s="29"/>
      <c r="EN91" s="29"/>
      <c r="EO91" s="29"/>
      <c r="EP91" s="29"/>
      <c r="EQ91" s="29"/>
      <c r="ER91" s="29"/>
      <c r="ES91" s="29"/>
      <c r="ET91" s="29"/>
      <c r="EU91" s="29"/>
      <c r="EV91" s="29"/>
      <c r="EW91" s="29"/>
      <c r="EX91" s="29"/>
      <c r="EY91" s="29"/>
      <c r="EZ91" s="29"/>
      <c r="FA91" s="29"/>
      <c r="FB91" s="29"/>
      <c r="FC91" s="29"/>
      <c r="FD91" s="29"/>
      <c r="FE91" s="29"/>
      <c r="FF91" s="29"/>
      <c r="FG91" s="29"/>
      <c r="FH91" s="29"/>
      <c r="FI91" s="29"/>
      <c r="FJ91" s="29"/>
      <c r="FK91" s="29"/>
      <c r="FL91" s="29"/>
      <c r="FM91" s="29"/>
      <c r="FN91" s="29"/>
      <c r="FO91" s="29"/>
    </row>
    <row r="92" spans="1:171" ht="12" x14ac:dyDescent="0.25">
      <c r="A92" s="490" t="s">
        <v>134</v>
      </c>
      <c r="B92" s="491"/>
      <c r="C92" s="491"/>
      <c r="D92" s="491"/>
      <c r="E92" s="491"/>
      <c r="F92" s="491"/>
      <c r="G92" s="491"/>
      <c r="H92" s="491"/>
      <c r="I92" s="491"/>
      <c r="J92" s="491"/>
      <c r="K92" s="491"/>
      <c r="L92" s="491"/>
      <c r="M92" s="491"/>
      <c r="N92" s="491"/>
      <c r="O92" s="491"/>
      <c r="P92" s="491"/>
      <c r="Q92" s="491"/>
      <c r="R92" s="491"/>
      <c r="S92" s="491"/>
      <c r="T92" s="491"/>
      <c r="U92" s="491"/>
      <c r="V92" s="491"/>
      <c r="W92" s="491"/>
      <c r="X92" s="491"/>
      <c r="Y92" s="491"/>
      <c r="Z92" s="491"/>
      <c r="AA92" s="491"/>
      <c r="AB92" s="491"/>
      <c r="AC92" s="491"/>
      <c r="AD92" s="491"/>
      <c r="AE92" s="491"/>
      <c r="AF92" s="491"/>
      <c r="AG92" s="491"/>
      <c r="AH92" s="491"/>
      <c r="AI92" s="491"/>
      <c r="AJ92" s="492"/>
      <c r="AK92" s="86"/>
      <c r="AL92" s="86"/>
      <c r="AM92" s="91"/>
      <c r="AN92" s="91"/>
      <c r="AO92" s="91"/>
      <c r="AP92" s="91"/>
      <c r="AQ92" s="91"/>
      <c r="AR92" s="91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29"/>
      <c r="CI92" s="29"/>
      <c r="CJ92" s="29"/>
      <c r="CK92" s="29"/>
      <c r="CL92" s="29"/>
      <c r="CM92" s="29"/>
      <c r="CN92" s="29"/>
      <c r="CO92" s="29"/>
      <c r="CP92" s="29"/>
      <c r="CQ92" s="29"/>
      <c r="CR92" s="29"/>
      <c r="CS92" s="29"/>
      <c r="CT92" s="29"/>
      <c r="CU92" s="29"/>
      <c r="CV92" s="29"/>
      <c r="CW92" s="29"/>
      <c r="CX92" s="29"/>
      <c r="CY92" s="29"/>
      <c r="CZ92" s="29"/>
      <c r="DA92" s="29"/>
      <c r="DB92" s="29"/>
      <c r="DC92" s="29"/>
      <c r="DD92" s="29"/>
      <c r="DE92" s="29"/>
      <c r="DF92" s="29"/>
      <c r="DG92" s="29"/>
      <c r="DH92" s="29"/>
      <c r="DI92" s="29"/>
      <c r="DJ92" s="29"/>
      <c r="DK92" s="29"/>
      <c r="DL92" s="29"/>
      <c r="DM92" s="29"/>
      <c r="DN92" s="29"/>
      <c r="DO92" s="29"/>
      <c r="DP92" s="29"/>
      <c r="DQ92" s="29"/>
      <c r="DR92" s="29"/>
      <c r="DS92" s="29"/>
      <c r="DT92" s="29"/>
      <c r="DU92" s="29"/>
      <c r="DV92" s="29"/>
      <c r="DW92" s="29"/>
      <c r="DX92" s="29"/>
      <c r="DY92" s="29"/>
      <c r="DZ92" s="29"/>
      <c r="EA92" s="29"/>
      <c r="EB92" s="29"/>
      <c r="EC92" s="29"/>
      <c r="ED92" s="29"/>
      <c r="EE92" s="29"/>
      <c r="EF92" s="29"/>
      <c r="EG92" s="29"/>
      <c r="EH92" s="29"/>
      <c r="EI92" s="29"/>
      <c r="EJ92" s="29"/>
      <c r="EK92" s="29"/>
      <c r="EL92" s="29"/>
      <c r="EM92" s="29"/>
      <c r="EN92" s="29"/>
      <c r="EO92" s="29"/>
      <c r="EP92" s="29"/>
      <c r="EQ92" s="29"/>
      <c r="ER92" s="29"/>
      <c r="ES92" s="29"/>
      <c r="ET92" s="29"/>
      <c r="EU92" s="29"/>
      <c r="EV92" s="29"/>
      <c r="EW92" s="29"/>
      <c r="EX92" s="29"/>
      <c r="EY92" s="29"/>
      <c r="EZ92" s="29"/>
      <c r="FA92" s="29"/>
      <c r="FB92" s="29"/>
      <c r="FC92" s="29"/>
      <c r="FD92" s="29"/>
      <c r="FE92" s="29"/>
      <c r="FF92" s="29"/>
      <c r="FG92" s="29"/>
      <c r="FH92" s="29"/>
      <c r="FI92" s="29"/>
      <c r="FJ92" s="29"/>
      <c r="FK92" s="29"/>
      <c r="FL92" s="29"/>
      <c r="FM92" s="29"/>
      <c r="FN92" s="29"/>
      <c r="FO92" s="29"/>
    </row>
    <row r="93" spans="1:171" ht="12" x14ac:dyDescent="0.25">
      <c r="A93" s="438" t="s">
        <v>122</v>
      </c>
      <c r="B93" s="453"/>
      <c r="C93" s="453"/>
      <c r="D93" s="453"/>
      <c r="E93" s="453"/>
      <c r="F93" s="453"/>
      <c r="G93" s="453"/>
      <c r="H93" s="453"/>
      <c r="I93" s="453"/>
      <c r="J93" s="453"/>
      <c r="K93" s="453"/>
      <c r="L93" s="453"/>
      <c r="M93" s="453"/>
      <c r="N93" s="453"/>
      <c r="O93" s="454"/>
      <c r="P93" s="454"/>
      <c r="Q93" s="455"/>
      <c r="R93" s="455"/>
      <c r="S93" s="455"/>
      <c r="T93" s="455"/>
      <c r="U93" s="528"/>
      <c r="V93" s="708"/>
      <c r="W93" s="545"/>
      <c r="X93" s="606"/>
      <c r="Y93" s="489">
        <v>11</v>
      </c>
      <c r="Z93" s="486">
        <v>34</v>
      </c>
      <c r="AA93" s="486">
        <v>41</v>
      </c>
      <c r="AB93" s="486">
        <v>38</v>
      </c>
      <c r="AC93" s="486">
        <v>62</v>
      </c>
      <c r="AD93" s="486">
        <v>62</v>
      </c>
      <c r="AE93" s="486">
        <v>58</v>
      </c>
      <c r="AF93" s="742">
        <v>49</v>
      </c>
      <c r="AG93" s="761">
        <f t="shared" ref="AG93:AG96" si="47">IF(AF93=0," ",IF(AJ93&gt;20,(AF93-AE93)/AE93," "))</f>
        <v>-0.15517241379310345</v>
      </c>
      <c r="AH93" s="305">
        <f t="shared" ref="AH93:AH96" si="48">IF(AF93=0," ",IF(AJ93&gt;20,(AF93-AA93)/AA93," "))</f>
        <v>0.1951219512195122</v>
      </c>
      <c r="AI93" s="306"/>
      <c r="AJ93" s="223">
        <f t="shared" ref="AJ93:AJ96" si="49">IF(AD93&gt;0,AVERAGE(AD93:AF93),"  ")</f>
        <v>56.333333333333336</v>
      </c>
      <c r="AK93" s="86"/>
      <c r="AL93" s="86"/>
      <c r="AM93" s="91"/>
      <c r="AN93" s="91"/>
      <c r="AO93" s="91"/>
      <c r="AP93" s="91"/>
      <c r="AQ93" s="91"/>
      <c r="AR93" s="91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  <c r="CF93" s="29"/>
      <c r="CG93" s="29"/>
      <c r="CH93" s="29"/>
      <c r="CI93" s="29"/>
      <c r="CJ93" s="29"/>
      <c r="CK93" s="29"/>
      <c r="CL93" s="29"/>
      <c r="CM93" s="29"/>
      <c r="CN93" s="29"/>
      <c r="CO93" s="29"/>
      <c r="CP93" s="29"/>
      <c r="CQ93" s="29"/>
      <c r="CR93" s="29"/>
      <c r="CS93" s="29"/>
      <c r="CT93" s="29"/>
      <c r="CU93" s="29"/>
      <c r="CV93" s="29"/>
      <c r="CW93" s="29"/>
      <c r="CX93" s="29"/>
      <c r="CY93" s="29"/>
      <c r="CZ93" s="29"/>
      <c r="DA93" s="29"/>
      <c r="DB93" s="29"/>
      <c r="DC93" s="29"/>
      <c r="DD93" s="29"/>
      <c r="DE93" s="29"/>
      <c r="DF93" s="29"/>
      <c r="DG93" s="29"/>
      <c r="DH93" s="29"/>
      <c r="DI93" s="29"/>
      <c r="DJ93" s="29"/>
      <c r="DK93" s="29"/>
      <c r="DL93" s="29"/>
      <c r="DM93" s="29"/>
      <c r="DN93" s="29"/>
      <c r="DO93" s="29"/>
      <c r="DP93" s="29"/>
      <c r="DQ93" s="29"/>
      <c r="DR93" s="29"/>
      <c r="DS93" s="29"/>
      <c r="DT93" s="29"/>
      <c r="DU93" s="29"/>
      <c r="DV93" s="29"/>
      <c r="DW93" s="29"/>
      <c r="DX93" s="29"/>
      <c r="DY93" s="29"/>
      <c r="DZ93" s="29"/>
      <c r="EA93" s="29"/>
      <c r="EB93" s="29"/>
      <c r="EC93" s="29"/>
      <c r="ED93" s="29"/>
      <c r="EE93" s="29"/>
      <c r="EF93" s="29"/>
      <c r="EG93" s="29"/>
      <c r="EH93" s="29"/>
      <c r="EI93" s="29"/>
      <c r="EJ93" s="29"/>
      <c r="EK93" s="29"/>
      <c r="EL93" s="29"/>
      <c r="EM93" s="29"/>
      <c r="EN93" s="29"/>
      <c r="EO93" s="29"/>
      <c r="EP93" s="29"/>
      <c r="EQ93" s="29"/>
      <c r="ER93" s="29"/>
      <c r="ES93" s="29"/>
      <c r="ET93" s="29"/>
      <c r="EU93" s="29"/>
      <c r="EV93" s="29"/>
      <c r="EW93" s="29"/>
      <c r="EX93" s="29"/>
      <c r="EY93" s="29"/>
      <c r="EZ93" s="29"/>
      <c r="FA93" s="29"/>
      <c r="FB93" s="29"/>
      <c r="FC93" s="29"/>
      <c r="FD93" s="29"/>
      <c r="FE93" s="29"/>
      <c r="FF93" s="29"/>
      <c r="FG93" s="29"/>
      <c r="FH93" s="29"/>
      <c r="FI93" s="29"/>
      <c r="FJ93" s="29"/>
      <c r="FK93" s="29"/>
      <c r="FL93" s="29"/>
      <c r="FM93" s="29"/>
      <c r="FN93" s="29"/>
      <c r="FO93" s="29"/>
    </row>
    <row r="94" spans="1:171" ht="12" x14ac:dyDescent="0.25">
      <c r="A94" s="439" t="s">
        <v>146</v>
      </c>
      <c r="B94" s="332"/>
      <c r="C94" s="332"/>
      <c r="D94" s="332"/>
      <c r="E94" s="332"/>
      <c r="F94" s="332"/>
      <c r="G94" s="332"/>
      <c r="H94" s="332"/>
      <c r="I94" s="332"/>
      <c r="J94" s="332"/>
      <c r="K94" s="332"/>
      <c r="L94" s="332"/>
      <c r="M94" s="332"/>
      <c r="N94" s="332"/>
      <c r="O94" s="456"/>
      <c r="P94" s="456"/>
      <c r="Q94" s="457"/>
      <c r="R94" s="457"/>
      <c r="S94" s="457"/>
      <c r="T94" s="457"/>
      <c r="U94" s="532">
        <v>79</v>
      </c>
      <c r="V94" s="709">
        <v>71</v>
      </c>
      <c r="W94" s="458">
        <v>119</v>
      </c>
      <c r="X94" s="333">
        <v>126</v>
      </c>
      <c r="Y94" s="8">
        <v>149</v>
      </c>
      <c r="Z94" s="8">
        <v>135</v>
      </c>
      <c r="AA94" s="8">
        <v>135</v>
      </c>
      <c r="AB94" s="8">
        <v>154</v>
      </c>
      <c r="AC94" s="8">
        <v>134</v>
      </c>
      <c r="AD94" s="8">
        <v>109</v>
      </c>
      <c r="AE94" s="8">
        <v>102</v>
      </c>
      <c r="AF94" s="743">
        <f>155-49</f>
        <v>106</v>
      </c>
      <c r="AG94" s="770">
        <f t="shared" si="47"/>
        <v>3.9215686274509803E-2</v>
      </c>
      <c r="AH94" s="177">
        <f t="shared" si="48"/>
        <v>-0.21481481481481482</v>
      </c>
      <c r="AI94" s="178"/>
      <c r="AJ94" s="222">
        <f t="shared" si="49"/>
        <v>105.66666666666667</v>
      </c>
      <c r="AK94" s="86"/>
      <c r="AL94" s="86"/>
      <c r="AM94" s="91"/>
      <c r="AN94" s="91"/>
      <c r="AO94" s="91"/>
      <c r="AP94" s="91"/>
      <c r="AQ94" s="91"/>
      <c r="AR94" s="91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  <c r="CA94" s="29"/>
      <c r="CB94" s="29"/>
      <c r="CC94" s="29"/>
      <c r="CD94" s="29"/>
      <c r="CE94" s="29"/>
      <c r="CF94" s="29"/>
      <c r="CG94" s="29"/>
      <c r="CH94" s="29"/>
      <c r="CI94" s="29"/>
      <c r="CJ94" s="29"/>
      <c r="CK94" s="29"/>
      <c r="CL94" s="29"/>
      <c r="CM94" s="29"/>
      <c r="CN94" s="29"/>
      <c r="CO94" s="29"/>
      <c r="CP94" s="29"/>
      <c r="CQ94" s="29"/>
      <c r="CR94" s="29"/>
      <c r="CS94" s="29"/>
      <c r="CT94" s="29"/>
      <c r="CU94" s="29"/>
      <c r="CV94" s="29"/>
      <c r="CW94" s="29"/>
      <c r="CX94" s="29"/>
      <c r="CY94" s="29"/>
      <c r="CZ94" s="29"/>
      <c r="DA94" s="29"/>
      <c r="DB94" s="29"/>
      <c r="DC94" s="29"/>
      <c r="DD94" s="29"/>
      <c r="DE94" s="29"/>
      <c r="DF94" s="29"/>
      <c r="DG94" s="29"/>
      <c r="DH94" s="29"/>
      <c r="DI94" s="29"/>
      <c r="DJ94" s="29"/>
      <c r="DK94" s="29"/>
      <c r="DL94" s="29"/>
      <c r="DM94" s="29"/>
      <c r="DN94" s="29"/>
      <c r="DO94" s="29"/>
      <c r="DP94" s="29"/>
      <c r="DQ94" s="29"/>
      <c r="DR94" s="29"/>
      <c r="DS94" s="29"/>
      <c r="DT94" s="29"/>
      <c r="DU94" s="29"/>
      <c r="DV94" s="29"/>
      <c r="DW94" s="29"/>
      <c r="DX94" s="29"/>
      <c r="DY94" s="29"/>
      <c r="DZ94" s="29"/>
      <c r="EA94" s="29"/>
      <c r="EB94" s="29"/>
      <c r="EC94" s="29"/>
      <c r="ED94" s="29"/>
      <c r="EE94" s="29"/>
      <c r="EF94" s="29"/>
      <c r="EG94" s="29"/>
      <c r="EH94" s="29"/>
      <c r="EI94" s="29"/>
      <c r="EJ94" s="29"/>
      <c r="EK94" s="29"/>
      <c r="EL94" s="29"/>
      <c r="EM94" s="29"/>
      <c r="EN94" s="29"/>
      <c r="EO94" s="29"/>
      <c r="EP94" s="29"/>
      <c r="EQ94" s="29"/>
      <c r="ER94" s="29"/>
      <c r="ES94" s="29"/>
      <c r="ET94" s="29"/>
      <c r="EU94" s="29"/>
      <c r="EV94" s="29"/>
      <c r="EW94" s="29"/>
      <c r="EX94" s="29"/>
      <c r="EY94" s="29"/>
      <c r="EZ94" s="29"/>
      <c r="FA94" s="29"/>
      <c r="FB94" s="29"/>
      <c r="FC94" s="29"/>
      <c r="FD94" s="29"/>
      <c r="FE94" s="29"/>
      <c r="FF94" s="29"/>
      <c r="FG94" s="29"/>
      <c r="FH94" s="29"/>
      <c r="FI94" s="29"/>
      <c r="FJ94" s="29"/>
      <c r="FK94" s="29"/>
      <c r="FL94" s="29"/>
      <c r="FM94" s="29"/>
      <c r="FN94" s="29"/>
      <c r="FO94" s="29"/>
    </row>
    <row r="95" spans="1:171" ht="12" x14ac:dyDescent="0.25">
      <c r="A95" s="437" t="s">
        <v>135</v>
      </c>
      <c r="B95" s="115">
        <v>0</v>
      </c>
      <c r="C95" s="115">
        <v>0</v>
      </c>
      <c r="D95" s="115">
        <v>4</v>
      </c>
      <c r="E95" s="115">
        <v>0</v>
      </c>
      <c r="F95" s="115">
        <v>0</v>
      </c>
      <c r="G95" s="115">
        <v>0</v>
      </c>
      <c r="H95" s="116">
        <v>0</v>
      </c>
      <c r="I95" s="116">
        <v>0</v>
      </c>
      <c r="J95" s="115">
        <v>19</v>
      </c>
      <c r="K95" s="115">
        <v>29</v>
      </c>
      <c r="L95" s="115">
        <v>31</v>
      </c>
      <c r="M95" s="115">
        <v>45</v>
      </c>
      <c r="N95" s="116">
        <v>27</v>
      </c>
      <c r="O95" s="243">
        <v>39</v>
      </c>
      <c r="P95" s="243">
        <v>46</v>
      </c>
      <c r="Q95" s="284">
        <v>62</v>
      </c>
      <c r="R95" s="284">
        <v>54</v>
      </c>
      <c r="S95" s="314">
        <v>72</v>
      </c>
      <c r="T95" s="284">
        <v>73</v>
      </c>
      <c r="U95" s="506">
        <f>U94</f>
        <v>79</v>
      </c>
      <c r="V95" s="685">
        <v>71</v>
      </c>
      <c r="W95" s="252">
        <v>119</v>
      </c>
      <c r="X95" s="116">
        <v>126</v>
      </c>
      <c r="Y95" s="116">
        <f>+Y94+Y93</f>
        <v>160</v>
      </c>
      <c r="Z95" s="115">
        <f t="shared" ref="Z95:AD95" si="50">Z94+Z93</f>
        <v>169</v>
      </c>
      <c r="AA95" s="115">
        <f t="shared" si="50"/>
        <v>176</v>
      </c>
      <c r="AB95" s="115">
        <f t="shared" si="50"/>
        <v>192</v>
      </c>
      <c r="AC95" s="115">
        <f t="shared" si="50"/>
        <v>196</v>
      </c>
      <c r="AD95" s="115">
        <f t="shared" si="50"/>
        <v>171</v>
      </c>
      <c r="AE95" s="115">
        <f>AE94+AE93</f>
        <v>160</v>
      </c>
      <c r="AF95" s="744">
        <f>AF94+AF93</f>
        <v>155</v>
      </c>
      <c r="AG95" s="774">
        <f t="shared" si="47"/>
        <v>-3.125E-2</v>
      </c>
      <c r="AH95" s="478">
        <f t="shared" si="48"/>
        <v>-0.11931818181818182</v>
      </c>
      <c r="AI95" s="478">
        <f t="shared" ref="AI95:AI96" si="51">IF(AF95=0," ",(IF(AJ95&gt;20,(AF95-V95)/V95," ")))</f>
        <v>1.1830985915492958</v>
      </c>
      <c r="AJ95" s="115">
        <f t="shared" si="49"/>
        <v>162</v>
      </c>
      <c r="AK95" s="86"/>
      <c r="AL95" s="86"/>
      <c r="AM95" s="91"/>
      <c r="AN95" s="91"/>
      <c r="AO95" s="91"/>
      <c r="AP95" s="91"/>
      <c r="AQ95" s="91"/>
      <c r="AR95" s="91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  <c r="CN95" s="29"/>
      <c r="CO95" s="29"/>
      <c r="CP95" s="29"/>
      <c r="CQ95" s="29"/>
      <c r="CR95" s="29"/>
      <c r="CS95" s="29"/>
      <c r="CT95" s="29"/>
      <c r="CU95" s="29"/>
      <c r="CV95" s="29"/>
      <c r="CW95" s="29"/>
      <c r="CX95" s="29"/>
      <c r="CY95" s="29"/>
      <c r="CZ95" s="29"/>
      <c r="DA95" s="29"/>
      <c r="DB95" s="29"/>
      <c r="DC95" s="29"/>
      <c r="DD95" s="29"/>
      <c r="DE95" s="29"/>
      <c r="DF95" s="29"/>
      <c r="DG95" s="29"/>
      <c r="DH95" s="29"/>
      <c r="DI95" s="29"/>
      <c r="DJ95" s="29"/>
      <c r="DK95" s="29"/>
      <c r="DL95" s="29"/>
      <c r="DM95" s="29"/>
      <c r="DN95" s="29"/>
      <c r="DO95" s="29"/>
      <c r="DP95" s="29"/>
      <c r="DQ95" s="29"/>
      <c r="DR95" s="29"/>
      <c r="DS95" s="29"/>
      <c r="DT95" s="29"/>
      <c r="DU95" s="29"/>
      <c r="DV95" s="29"/>
      <c r="DW95" s="29"/>
      <c r="DX95" s="29"/>
      <c r="DY95" s="29"/>
      <c r="DZ95" s="29"/>
      <c r="EA95" s="29"/>
      <c r="EB95" s="29"/>
      <c r="EC95" s="29"/>
      <c r="ED95" s="29"/>
      <c r="EE95" s="29"/>
      <c r="EF95" s="29"/>
      <c r="EG95" s="29"/>
      <c r="EH95" s="29"/>
      <c r="EI95" s="29"/>
      <c r="EJ95" s="29"/>
      <c r="EK95" s="29"/>
      <c r="EL95" s="29"/>
      <c r="EM95" s="29"/>
      <c r="EN95" s="29"/>
      <c r="EO95" s="29"/>
      <c r="EP95" s="29"/>
      <c r="EQ95" s="29"/>
      <c r="ER95" s="29"/>
      <c r="ES95" s="29"/>
      <c r="ET95" s="29"/>
      <c r="EU95" s="29"/>
      <c r="EV95" s="29"/>
      <c r="EW95" s="29"/>
      <c r="EX95" s="29"/>
      <c r="EY95" s="29"/>
      <c r="EZ95" s="29"/>
      <c r="FA95" s="29"/>
      <c r="FB95" s="29"/>
      <c r="FC95" s="29"/>
      <c r="FD95" s="29"/>
      <c r="FE95" s="29"/>
      <c r="FF95" s="29"/>
      <c r="FG95" s="29"/>
      <c r="FH95" s="29"/>
      <c r="FI95" s="29"/>
      <c r="FJ95" s="29"/>
      <c r="FK95" s="29"/>
      <c r="FL95" s="29"/>
      <c r="FM95" s="29"/>
      <c r="FN95" s="29"/>
      <c r="FO95" s="29"/>
    </row>
    <row r="96" spans="1:171" ht="12.6" thickBot="1" x14ac:dyDescent="0.3">
      <c r="A96" s="388" t="s">
        <v>71</v>
      </c>
      <c r="B96" s="123">
        <f t="shared" ref="B96:AD96" si="52">+B95+B91+B85</f>
        <v>10</v>
      </c>
      <c r="C96" s="123">
        <f t="shared" si="52"/>
        <v>5</v>
      </c>
      <c r="D96" s="123">
        <f t="shared" si="52"/>
        <v>14</v>
      </c>
      <c r="E96" s="123">
        <f t="shared" si="52"/>
        <v>7</v>
      </c>
      <c r="F96" s="123">
        <f t="shared" si="52"/>
        <v>11</v>
      </c>
      <c r="G96" s="123">
        <f t="shared" si="52"/>
        <v>13</v>
      </c>
      <c r="H96" s="123">
        <f t="shared" si="52"/>
        <v>8</v>
      </c>
      <c r="I96" s="123">
        <f t="shared" si="52"/>
        <v>12</v>
      </c>
      <c r="J96" s="123">
        <f t="shared" si="52"/>
        <v>30</v>
      </c>
      <c r="K96" s="123">
        <f t="shared" si="52"/>
        <v>44</v>
      </c>
      <c r="L96" s="123">
        <f t="shared" si="52"/>
        <v>42</v>
      </c>
      <c r="M96" s="123">
        <f t="shared" si="52"/>
        <v>64</v>
      </c>
      <c r="N96" s="123">
        <f t="shared" si="52"/>
        <v>37</v>
      </c>
      <c r="O96" s="262">
        <f t="shared" si="52"/>
        <v>58</v>
      </c>
      <c r="P96" s="277">
        <f t="shared" si="52"/>
        <v>57</v>
      </c>
      <c r="Q96" s="295">
        <f t="shared" si="52"/>
        <v>86</v>
      </c>
      <c r="R96" s="295">
        <f t="shared" si="52"/>
        <v>90</v>
      </c>
      <c r="S96" s="295">
        <f t="shared" si="52"/>
        <v>94</v>
      </c>
      <c r="T96" s="295">
        <f t="shared" si="52"/>
        <v>115</v>
      </c>
      <c r="U96" s="533">
        <f t="shared" si="52"/>
        <v>114</v>
      </c>
      <c r="V96" s="710">
        <f t="shared" si="52"/>
        <v>103</v>
      </c>
      <c r="W96" s="167">
        <f t="shared" si="52"/>
        <v>149</v>
      </c>
      <c r="X96" s="123">
        <f t="shared" si="52"/>
        <v>148</v>
      </c>
      <c r="Y96" s="123">
        <f t="shared" si="52"/>
        <v>183</v>
      </c>
      <c r="Z96" s="123">
        <f t="shared" si="52"/>
        <v>195</v>
      </c>
      <c r="AA96" s="123">
        <f t="shared" si="52"/>
        <v>206</v>
      </c>
      <c r="AB96" s="123">
        <f t="shared" si="52"/>
        <v>213</v>
      </c>
      <c r="AC96" s="123">
        <f t="shared" si="52"/>
        <v>229</v>
      </c>
      <c r="AD96" s="123">
        <f t="shared" si="52"/>
        <v>192</v>
      </c>
      <c r="AE96" s="123">
        <f>+AE95+AE91+AE85</f>
        <v>178</v>
      </c>
      <c r="AF96" s="262">
        <f>+AF95+AF91+AF85</f>
        <v>168</v>
      </c>
      <c r="AG96" s="775">
        <f t="shared" si="47"/>
        <v>-5.6179775280898875E-2</v>
      </c>
      <c r="AH96" s="215">
        <f t="shared" si="48"/>
        <v>-0.18446601941747573</v>
      </c>
      <c r="AI96" s="215">
        <f t="shared" si="51"/>
        <v>0.6310679611650486</v>
      </c>
      <c r="AJ96" s="123">
        <f t="shared" si="49"/>
        <v>179.33333333333334</v>
      </c>
      <c r="AK96" s="86"/>
      <c r="AL96" s="86"/>
      <c r="AM96" s="91"/>
      <c r="AN96" s="91"/>
      <c r="AO96" s="91"/>
      <c r="AP96" s="91"/>
      <c r="AQ96" s="91"/>
      <c r="AR96" s="91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  <c r="CO96" s="29"/>
      <c r="CP96" s="29"/>
      <c r="CQ96" s="29"/>
      <c r="CR96" s="29"/>
      <c r="CS96" s="29"/>
      <c r="CT96" s="29"/>
      <c r="CU96" s="29"/>
      <c r="CV96" s="29"/>
      <c r="CW96" s="29"/>
      <c r="CX96" s="29"/>
      <c r="CY96" s="29"/>
      <c r="CZ96" s="29"/>
      <c r="DA96" s="29"/>
      <c r="DB96" s="29"/>
      <c r="DC96" s="29"/>
      <c r="DD96" s="29"/>
      <c r="DE96" s="29"/>
      <c r="DF96" s="29"/>
      <c r="DG96" s="29"/>
      <c r="DH96" s="29"/>
      <c r="DI96" s="29"/>
      <c r="DJ96" s="29"/>
      <c r="DK96" s="29"/>
      <c r="DL96" s="29"/>
      <c r="DM96" s="29"/>
      <c r="DN96" s="29"/>
      <c r="DO96" s="29"/>
      <c r="DP96" s="29"/>
      <c r="DQ96" s="29"/>
      <c r="DR96" s="29"/>
      <c r="DS96" s="29"/>
      <c r="DT96" s="29"/>
      <c r="DU96" s="29"/>
      <c r="DV96" s="29"/>
      <c r="DW96" s="29"/>
      <c r="DX96" s="29"/>
      <c r="DY96" s="29"/>
      <c r="DZ96" s="29"/>
      <c r="EA96" s="29"/>
      <c r="EB96" s="29"/>
      <c r="EC96" s="29"/>
      <c r="ED96" s="29"/>
      <c r="EE96" s="29"/>
      <c r="EF96" s="29"/>
      <c r="EG96" s="29"/>
      <c r="EH96" s="29"/>
      <c r="EI96" s="29"/>
      <c r="EJ96" s="29"/>
      <c r="EK96" s="29"/>
      <c r="EL96" s="29"/>
      <c r="EM96" s="29"/>
      <c r="EN96" s="29"/>
      <c r="EO96" s="29"/>
      <c r="EP96" s="29"/>
      <c r="EQ96" s="29"/>
      <c r="ER96" s="29"/>
      <c r="ES96" s="29"/>
      <c r="ET96" s="29"/>
      <c r="EU96" s="29"/>
      <c r="EV96" s="29"/>
      <c r="EW96" s="29"/>
      <c r="EX96" s="29"/>
      <c r="EY96" s="29"/>
      <c r="EZ96" s="29"/>
      <c r="FA96" s="29"/>
      <c r="FB96" s="29"/>
      <c r="FC96" s="29"/>
      <c r="FD96" s="29"/>
      <c r="FE96" s="29"/>
      <c r="FF96" s="29"/>
      <c r="FG96" s="29"/>
      <c r="FH96" s="29"/>
      <c r="FI96" s="29"/>
      <c r="FJ96" s="29"/>
      <c r="FK96" s="29"/>
      <c r="FL96" s="29"/>
      <c r="FM96" s="29"/>
      <c r="FN96" s="29"/>
      <c r="FO96" s="29"/>
    </row>
    <row r="97" spans="1:179" ht="13.8" thickTop="1" x14ac:dyDescent="0.25">
      <c r="A97" s="389" t="s">
        <v>72</v>
      </c>
      <c r="B97" s="9"/>
      <c r="C97" s="9"/>
      <c r="D97" s="9"/>
      <c r="E97" s="9"/>
      <c r="F97" s="9"/>
      <c r="G97" s="10"/>
      <c r="H97" s="10"/>
      <c r="I97" s="10"/>
      <c r="J97" s="10"/>
      <c r="K97" s="9"/>
      <c r="L97" s="9"/>
      <c r="M97" s="9"/>
      <c r="N97" s="9"/>
      <c r="O97" s="11"/>
      <c r="P97" s="11"/>
      <c r="Q97" s="11"/>
      <c r="R97" s="11"/>
      <c r="S97" s="11"/>
      <c r="T97" s="12"/>
      <c r="U97" s="12"/>
      <c r="V97" s="12"/>
      <c r="W97" s="12"/>
      <c r="X97" s="12"/>
      <c r="Y97" s="12"/>
      <c r="Z97" s="13"/>
      <c r="AA97" s="13"/>
      <c r="AB97" s="13"/>
      <c r="AC97" s="13"/>
      <c r="AD97" s="13"/>
      <c r="AE97" s="13"/>
      <c r="AF97" s="13"/>
      <c r="AG97" s="213"/>
      <c r="AH97" s="214"/>
      <c r="AI97" s="213"/>
      <c r="AJ97" s="14"/>
      <c r="AK97" s="86"/>
      <c r="AL97" s="86"/>
      <c r="AM97" s="91"/>
      <c r="AN97" s="91"/>
      <c r="AO97" s="91"/>
      <c r="AP97" s="91"/>
      <c r="AQ97" s="91"/>
      <c r="AR97" s="91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29"/>
      <c r="CF97" s="29"/>
      <c r="CG97" s="29"/>
      <c r="CH97" s="29"/>
      <c r="CI97" s="29"/>
      <c r="CJ97" s="29"/>
      <c r="CK97" s="29"/>
      <c r="CL97" s="29"/>
      <c r="CM97" s="29"/>
      <c r="CN97" s="29"/>
      <c r="CO97" s="29"/>
      <c r="CP97" s="29"/>
      <c r="CQ97" s="29"/>
      <c r="CR97" s="29"/>
      <c r="CS97" s="29"/>
      <c r="CT97" s="29"/>
      <c r="CU97" s="29"/>
      <c r="CV97" s="29"/>
      <c r="CW97" s="29"/>
      <c r="CX97" s="29"/>
      <c r="CY97" s="29"/>
      <c r="CZ97" s="29"/>
      <c r="DA97" s="29"/>
      <c r="DB97" s="29"/>
      <c r="DC97" s="29"/>
      <c r="DD97" s="29"/>
      <c r="DE97" s="29"/>
      <c r="DF97" s="29"/>
      <c r="DG97" s="29"/>
      <c r="DH97" s="29"/>
      <c r="DI97" s="29"/>
      <c r="DJ97" s="29"/>
      <c r="DK97" s="29"/>
      <c r="DL97" s="29"/>
      <c r="DM97" s="29"/>
      <c r="DN97" s="29"/>
      <c r="DO97" s="29"/>
      <c r="DP97" s="29"/>
      <c r="DQ97" s="29"/>
      <c r="DR97" s="29"/>
      <c r="DS97" s="29"/>
      <c r="DT97" s="29"/>
      <c r="DU97" s="29"/>
      <c r="DV97" s="29"/>
      <c r="DW97" s="29"/>
      <c r="DX97" s="29"/>
      <c r="DY97" s="29"/>
      <c r="DZ97" s="29"/>
      <c r="EA97" s="29"/>
      <c r="EB97" s="29"/>
      <c r="EC97" s="29"/>
      <c r="ED97" s="29"/>
      <c r="EE97" s="29"/>
      <c r="EF97" s="29"/>
      <c r="EG97" s="29"/>
      <c r="EH97" s="29"/>
      <c r="EI97" s="29"/>
      <c r="EJ97" s="29"/>
      <c r="EK97" s="29"/>
      <c r="EL97" s="29"/>
      <c r="EM97" s="29"/>
      <c r="EN97" s="29"/>
      <c r="EO97" s="29"/>
      <c r="EP97" s="29"/>
      <c r="EQ97" s="29"/>
      <c r="ER97" s="29"/>
      <c r="ES97" s="29"/>
      <c r="ET97" s="29"/>
      <c r="EU97" s="29"/>
      <c r="EV97" s="29"/>
      <c r="EW97" s="29"/>
      <c r="EX97" s="29"/>
      <c r="EY97" s="29"/>
      <c r="EZ97" s="29"/>
      <c r="FA97" s="29"/>
      <c r="FB97" s="29"/>
      <c r="FC97" s="29"/>
      <c r="FD97" s="29"/>
      <c r="FE97" s="29"/>
      <c r="FF97" s="29"/>
      <c r="FG97" s="29"/>
      <c r="FH97" s="29"/>
      <c r="FI97" s="29"/>
      <c r="FJ97" s="29"/>
      <c r="FK97" s="29"/>
      <c r="FL97" s="29"/>
      <c r="FM97" s="29"/>
      <c r="FN97" s="29"/>
      <c r="FO97" s="29"/>
      <c r="FP97" s="29"/>
      <c r="FQ97" s="29"/>
      <c r="FR97" s="29"/>
      <c r="FS97" s="29"/>
      <c r="FT97" s="29"/>
      <c r="FU97" s="29"/>
      <c r="FV97" s="29"/>
      <c r="FW97" s="29"/>
    </row>
    <row r="98" spans="1:179" ht="12" x14ac:dyDescent="0.25">
      <c r="A98" s="390" t="s">
        <v>101</v>
      </c>
      <c r="B98" s="149"/>
      <c r="C98" s="153"/>
      <c r="D98" s="153"/>
      <c r="E98" s="153"/>
      <c r="F98" s="153"/>
      <c r="G98" s="153"/>
      <c r="H98" s="154">
        <v>0</v>
      </c>
      <c r="I98" s="154"/>
      <c r="J98" s="155"/>
      <c r="K98" s="153"/>
      <c r="L98" s="153">
        <v>0</v>
      </c>
      <c r="M98" s="153"/>
      <c r="N98" s="154">
        <v>0</v>
      </c>
      <c r="O98" s="263">
        <v>0</v>
      </c>
      <c r="P98" s="278">
        <v>0</v>
      </c>
      <c r="Q98" s="296">
        <v>0</v>
      </c>
      <c r="R98" s="296">
        <v>15</v>
      </c>
      <c r="S98" s="318">
        <v>15</v>
      </c>
      <c r="T98" s="296">
        <v>12</v>
      </c>
      <c r="U98" s="534">
        <v>13</v>
      </c>
      <c r="V98" s="711">
        <v>19</v>
      </c>
      <c r="W98" s="538">
        <v>18</v>
      </c>
      <c r="X98" s="150">
        <v>18</v>
      </c>
      <c r="Y98" s="150">
        <v>18</v>
      </c>
      <c r="Z98" s="276">
        <v>19</v>
      </c>
      <c r="AA98" s="276">
        <v>10</v>
      </c>
      <c r="AB98" s="276">
        <v>21</v>
      </c>
      <c r="AC98" s="276">
        <v>10</v>
      </c>
      <c r="AD98" s="276">
        <v>6</v>
      </c>
      <c r="AE98" s="276">
        <v>8</v>
      </c>
      <c r="AF98" s="80">
        <v>13</v>
      </c>
      <c r="AG98" s="761" t="str">
        <f t="shared" ref="AG98:AG102" si="53">IF(AF98=0," ",IF(AJ98&gt;20,(AF98-AE98)/AE98," "))</f>
        <v xml:space="preserve"> </v>
      </c>
      <c r="AH98" s="203" t="str">
        <f t="shared" ref="AH98:AH102" si="54">IF(AF98=0," ",IF(AJ98&gt;20,(AF98-AA98)/AA98," "))</f>
        <v xml:space="preserve"> </v>
      </c>
      <c r="AI98" s="204" t="str">
        <f t="shared" ref="AI98:AI102" si="55">IF(AF98=0," ",(IF(AJ98&gt;20,(AF98-V98)/V98," ")))</f>
        <v xml:space="preserve"> </v>
      </c>
      <c r="AJ98" s="221">
        <f t="shared" ref="AJ98:AJ102" si="56">IF(AD98&gt;0,AVERAGE(AD98:AF98),"  ")</f>
        <v>9</v>
      </c>
      <c r="AK98" s="86"/>
      <c r="AL98" s="86"/>
      <c r="AM98" s="91"/>
      <c r="AN98" s="91"/>
      <c r="AO98" s="91"/>
      <c r="AP98" s="91"/>
      <c r="AQ98" s="91"/>
      <c r="AR98" s="91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  <c r="CA98" s="29"/>
      <c r="CB98" s="29"/>
      <c r="CC98" s="29"/>
      <c r="CD98" s="29"/>
      <c r="CE98" s="29"/>
      <c r="CF98" s="29"/>
      <c r="CG98" s="29"/>
      <c r="CH98" s="29"/>
      <c r="CI98" s="29"/>
      <c r="CJ98" s="29"/>
      <c r="CK98" s="29"/>
      <c r="CL98" s="29"/>
      <c r="CM98" s="29"/>
      <c r="CN98" s="29"/>
      <c r="CO98" s="29"/>
      <c r="CP98" s="29"/>
      <c r="CQ98" s="29"/>
      <c r="CR98" s="29"/>
      <c r="CS98" s="29"/>
      <c r="CT98" s="29"/>
      <c r="CU98" s="29"/>
      <c r="CV98" s="29"/>
      <c r="CW98" s="29"/>
      <c r="CX98" s="29"/>
      <c r="CY98" s="29"/>
      <c r="CZ98" s="29"/>
      <c r="DA98" s="29"/>
      <c r="DB98" s="29"/>
      <c r="DC98" s="29"/>
      <c r="DD98" s="29"/>
      <c r="DE98" s="29"/>
      <c r="DF98" s="29"/>
      <c r="DG98" s="29"/>
      <c r="DH98" s="29"/>
      <c r="DI98" s="29"/>
      <c r="DJ98" s="29"/>
      <c r="DK98" s="29"/>
      <c r="DL98" s="29"/>
      <c r="DM98" s="29"/>
      <c r="DN98" s="29"/>
      <c r="DO98" s="29"/>
      <c r="DP98" s="29"/>
      <c r="DQ98" s="29"/>
      <c r="DR98" s="29"/>
      <c r="DS98" s="29"/>
      <c r="DT98" s="29"/>
      <c r="DU98" s="29"/>
      <c r="DV98" s="29"/>
      <c r="DW98" s="29"/>
      <c r="DX98" s="29"/>
      <c r="DY98" s="29"/>
      <c r="DZ98" s="29"/>
      <c r="EA98" s="29"/>
      <c r="EB98" s="29"/>
      <c r="EC98" s="29"/>
      <c r="ED98" s="29"/>
      <c r="EE98" s="29"/>
      <c r="EF98" s="29"/>
      <c r="EG98" s="29"/>
      <c r="EH98" s="29"/>
      <c r="EI98" s="29"/>
      <c r="EJ98" s="29"/>
      <c r="EK98" s="29"/>
      <c r="EL98" s="29"/>
      <c r="EM98" s="29"/>
      <c r="EN98" s="29"/>
      <c r="EO98" s="29"/>
      <c r="EP98" s="29"/>
      <c r="EQ98" s="29"/>
      <c r="ER98" s="29"/>
      <c r="ES98" s="29"/>
      <c r="ET98" s="29"/>
      <c r="EU98" s="29"/>
      <c r="EV98" s="29"/>
      <c r="EW98" s="29"/>
      <c r="EX98" s="29"/>
      <c r="EY98" s="29"/>
      <c r="EZ98" s="29"/>
      <c r="FA98" s="29"/>
      <c r="FB98" s="29"/>
      <c r="FC98" s="29"/>
      <c r="FD98" s="29"/>
      <c r="FE98" s="29"/>
      <c r="FF98" s="29"/>
      <c r="FG98" s="29"/>
      <c r="FH98" s="29"/>
      <c r="FI98" s="29"/>
      <c r="FJ98" s="29"/>
      <c r="FK98" s="29"/>
      <c r="FL98" s="29"/>
      <c r="FM98" s="29"/>
      <c r="FN98" s="29"/>
      <c r="FO98" s="29"/>
    </row>
    <row r="99" spans="1:179" ht="12" x14ac:dyDescent="0.25">
      <c r="A99" s="391" t="s">
        <v>136</v>
      </c>
      <c r="B99" s="151"/>
      <c r="C99" s="156"/>
      <c r="D99" s="156"/>
      <c r="E99" s="156"/>
      <c r="F99" s="156">
        <v>0</v>
      </c>
      <c r="G99" s="156">
        <v>0</v>
      </c>
      <c r="H99" s="156"/>
      <c r="I99" s="156"/>
      <c r="J99" s="156"/>
      <c r="K99" s="156">
        <v>0</v>
      </c>
      <c r="L99" s="156">
        <v>0</v>
      </c>
      <c r="M99" s="157">
        <v>0</v>
      </c>
      <c r="N99" s="157">
        <v>0</v>
      </c>
      <c r="O99" s="264">
        <v>0</v>
      </c>
      <c r="P99" s="152">
        <v>8</v>
      </c>
      <c r="Q99" s="297">
        <v>7</v>
      </c>
      <c r="R99" s="297">
        <f>5+3</f>
        <v>8</v>
      </c>
      <c r="S99" s="297">
        <f>6+2</f>
        <v>8</v>
      </c>
      <c r="T99" s="297">
        <v>16</v>
      </c>
      <c r="U99" s="535">
        <f>6+2</f>
        <v>8</v>
      </c>
      <c r="V99" s="712">
        <v>8</v>
      </c>
      <c r="W99" s="539">
        <v>1</v>
      </c>
      <c r="X99" s="150">
        <v>5</v>
      </c>
      <c r="Y99" s="150">
        <v>14</v>
      </c>
      <c r="Z99" s="261">
        <v>10</v>
      </c>
      <c r="AA99" s="261">
        <v>10</v>
      </c>
      <c r="AB99" s="261">
        <v>3</v>
      </c>
      <c r="AC99" s="261">
        <v>11</v>
      </c>
      <c r="AD99" s="261">
        <v>0</v>
      </c>
      <c r="AE99" s="261">
        <v>0</v>
      </c>
      <c r="AF99" s="92">
        <v>0</v>
      </c>
      <c r="AG99" s="755" t="str">
        <f t="shared" si="53"/>
        <v xml:space="preserve"> </v>
      </c>
      <c r="AH99" s="206" t="str">
        <f t="shared" si="54"/>
        <v xml:space="preserve"> </v>
      </c>
      <c r="AI99" s="207" t="str">
        <f t="shared" si="55"/>
        <v xml:space="preserve"> </v>
      </c>
      <c r="AJ99" s="120" t="str">
        <f t="shared" si="56"/>
        <v xml:space="preserve">  </v>
      </c>
      <c r="AK99" s="86"/>
      <c r="AL99" s="86"/>
      <c r="AM99" s="91"/>
      <c r="AN99" s="91"/>
      <c r="AO99" s="91"/>
      <c r="AP99" s="91"/>
      <c r="AQ99" s="91"/>
      <c r="AR99" s="91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  <c r="CC99" s="29"/>
      <c r="CD99" s="29"/>
      <c r="CE99" s="29"/>
      <c r="CF99" s="29"/>
      <c r="CG99" s="29"/>
      <c r="CH99" s="29"/>
      <c r="CI99" s="29"/>
      <c r="CJ99" s="29"/>
      <c r="CK99" s="29"/>
      <c r="CL99" s="29"/>
      <c r="CM99" s="29"/>
      <c r="CN99" s="29"/>
      <c r="CO99" s="29"/>
      <c r="CP99" s="29"/>
      <c r="CQ99" s="29"/>
      <c r="CR99" s="29"/>
      <c r="CS99" s="29"/>
      <c r="CT99" s="29"/>
      <c r="CU99" s="29"/>
      <c r="CV99" s="29"/>
      <c r="CW99" s="29"/>
      <c r="CX99" s="29"/>
      <c r="CY99" s="29"/>
      <c r="CZ99" s="29"/>
      <c r="DA99" s="29"/>
      <c r="DB99" s="29"/>
      <c r="DC99" s="29"/>
      <c r="DD99" s="29"/>
      <c r="DE99" s="29"/>
      <c r="DF99" s="29"/>
      <c r="DG99" s="29"/>
      <c r="DH99" s="29"/>
      <c r="DI99" s="29"/>
      <c r="DJ99" s="29"/>
      <c r="DK99" s="29"/>
      <c r="DL99" s="29"/>
      <c r="DM99" s="29"/>
      <c r="DN99" s="29"/>
      <c r="DO99" s="29"/>
      <c r="DP99" s="29"/>
      <c r="DQ99" s="29"/>
      <c r="DR99" s="29"/>
      <c r="DS99" s="29"/>
      <c r="DT99" s="29"/>
      <c r="DU99" s="29"/>
      <c r="DV99" s="29"/>
      <c r="DW99" s="29"/>
      <c r="DX99" s="29"/>
      <c r="DY99" s="29"/>
      <c r="DZ99" s="29"/>
      <c r="EA99" s="29"/>
      <c r="EB99" s="29"/>
      <c r="EC99" s="29"/>
      <c r="ED99" s="29"/>
      <c r="EE99" s="29"/>
      <c r="EF99" s="29"/>
      <c r="EG99" s="29"/>
      <c r="EH99" s="29"/>
      <c r="EI99" s="29"/>
      <c r="EJ99" s="29"/>
      <c r="EK99" s="29"/>
      <c r="EL99" s="29"/>
      <c r="EM99" s="29"/>
      <c r="EN99" s="29"/>
      <c r="EO99" s="29"/>
      <c r="EP99" s="29"/>
      <c r="EQ99" s="29"/>
      <c r="ER99" s="29"/>
      <c r="ES99" s="29"/>
      <c r="ET99" s="29"/>
      <c r="EU99" s="29"/>
      <c r="EV99" s="29"/>
      <c r="EW99" s="29"/>
      <c r="EX99" s="29"/>
      <c r="EY99" s="29"/>
      <c r="EZ99" s="29"/>
      <c r="FA99" s="29"/>
      <c r="FB99" s="29"/>
      <c r="FC99" s="29"/>
      <c r="FD99" s="29"/>
      <c r="FE99" s="29"/>
      <c r="FF99" s="29"/>
      <c r="FG99" s="29"/>
      <c r="FH99" s="29"/>
      <c r="FI99" s="29"/>
      <c r="FJ99" s="29"/>
      <c r="FK99" s="29"/>
      <c r="FL99" s="29"/>
      <c r="FM99" s="29"/>
      <c r="FN99" s="29"/>
      <c r="FO99" s="29"/>
    </row>
    <row r="100" spans="1:179" ht="12" x14ac:dyDescent="0.25">
      <c r="A100" s="392" t="s">
        <v>84</v>
      </c>
      <c r="B100" s="149">
        <v>12</v>
      </c>
      <c r="C100" s="158">
        <v>7</v>
      </c>
      <c r="D100" s="158">
        <v>11</v>
      </c>
      <c r="E100" s="158">
        <v>13</v>
      </c>
      <c r="F100" s="158">
        <v>16</v>
      </c>
      <c r="G100" s="158">
        <v>15</v>
      </c>
      <c r="H100" s="159">
        <v>15</v>
      </c>
      <c r="I100" s="159">
        <v>23</v>
      </c>
      <c r="J100" s="160">
        <v>17</v>
      </c>
      <c r="K100" s="158">
        <v>22</v>
      </c>
      <c r="L100" s="158">
        <v>27</v>
      </c>
      <c r="M100" s="158">
        <v>20</v>
      </c>
      <c r="N100" s="159">
        <v>22</v>
      </c>
      <c r="O100" s="265">
        <v>22</v>
      </c>
      <c r="P100" s="150">
        <v>16</v>
      </c>
      <c r="Q100" s="296">
        <v>19</v>
      </c>
      <c r="R100" s="296">
        <v>18</v>
      </c>
      <c r="S100" s="318">
        <f>19+2</f>
        <v>21</v>
      </c>
      <c r="T100" s="296">
        <v>21</v>
      </c>
      <c r="U100" s="534">
        <f>19+1</f>
        <v>20</v>
      </c>
      <c r="V100" s="713">
        <v>25</v>
      </c>
      <c r="W100" s="538">
        <v>17</v>
      </c>
      <c r="X100" s="150">
        <v>26</v>
      </c>
      <c r="Y100" s="150">
        <v>22</v>
      </c>
      <c r="Z100" s="276">
        <v>14</v>
      </c>
      <c r="AA100" s="276">
        <v>18</v>
      </c>
      <c r="AB100" s="276">
        <v>18</v>
      </c>
      <c r="AC100" s="276">
        <v>25</v>
      </c>
      <c r="AD100" s="276">
        <v>7</v>
      </c>
      <c r="AE100" s="276">
        <v>3</v>
      </c>
      <c r="AF100" s="80">
        <v>5</v>
      </c>
      <c r="AG100" s="755" t="str">
        <f t="shared" si="53"/>
        <v xml:space="preserve"> </v>
      </c>
      <c r="AH100" s="206" t="str">
        <f t="shared" si="54"/>
        <v xml:space="preserve"> </v>
      </c>
      <c r="AI100" s="207" t="str">
        <f t="shared" si="55"/>
        <v xml:space="preserve"> </v>
      </c>
      <c r="AJ100" s="120">
        <f t="shared" si="56"/>
        <v>5</v>
      </c>
      <c r="AK100" s="86"/>
      <c r="AL100" s="86"/>
      <c r="AM100" s="91"/>
      <c r="AN100" s="91"/>
      <c r="AO100" s="91"/>
      <c r="AP100" s="91"/>
      <c r="AQ100" s="91"/>
      <c r="AR100" s="91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29"/>
      <c r="CF100" s="29"/>
      <c r="CG100" s="29"/>
      <c r="CH100" s="29"/>
      <c r="CI100" s="29"/>
      <c r="CJ100" s="29"/>
      <c r="CK100" s="29"/>
      <c r="CL100" s="29"/>
      <c r="CM100" s="29"/>
      <c r="CN100" s="29"/>
      <c r="CO100" s="29"/>
      <c r="CP100" s="29"/>
      <c r="CQ100" s="29"/>
      <c r="CR100" s="29"/>
      <c r="CS100" s="29"/>
      <c r="CT100" s="29"/>
      <c r="CU100" s="29"/>
      <c r="CV100" s="29"/>
      <c r="CW100" s="29"/>
      <c r="CX100" s="29"/>
      <c r="CY100" s="29"/>
      <c r="CZ100" s="29"/>
      <c r="DA100" s="29"/>
      <c r="DB100" s="29"/>
      <c r="DC100" s="29"/>
      <c r="DD100" s="29"/>
      <c r="DE100" s="29"/>
      <c r="DF100" s="29"/>
      <c r="DG100" s="29"/>
      <c r="DH100" s="29"/>
      <c r="DI100" s="29"/>
      <c r="DJ100" s="29"/>
      <c r="DK100" s="29"/>
      <c r="DL100" s="29"/>
      <c r="DM100" s="29"/>
      <c r="DN100" s="29"/>
      <c r="DO100" s="29"/>
      <c r="DP100" s="29"/>
      <c r="DQ100" s="29"/>
      <c r="DR100" s="29"/>
      <c r="DS100" s="29"/>
      <c r="DT100" s="29"/>
      <c r="DU100" s="29"/>
      <c r="DV100" s="29"/>
      <c r="DW100" s="29"/>
      <c r="DX100" s="29"/>
      <c r="DY100" s="29"/>
      <c r="DZ100" s="29"/>
      <c r="EA100" s="29"/>
      <c r="EB100" s="29"/>
      <c r="EC100" s="29"/>
      <c r="ED100" s="29"/>
      <c r="EE100" s="29"/>
      <c r="EF100" s="29"/>
      <c r="EG100" s="29"/>
      <c r="EH100" s="29"/>
      <c r="EI100" s="29"/>
      <c r="EJ100" s="29"/>
      <c r="EK100" s="29"/>
      <c r="EL100" s="29"/>
      <c r="EM100" s="29"/>
      <c r="EN100" s="29"/>
      <c r="EO100" s="29"/>
      <c r="EP100" s="29"/>
      <c r="EQ100" s="29"/>
      <c r="ER100" s="29"/>
      <c r="ES100" s="29"/>
      <c r="ET100" s="29"/>
      <c r="EU100" s="29"/>
      <c r="EV100" s="29"/>
      <c r="EW100" s="29"/>
      <c r="EX100" s="29"/>
      <c r="EY100" s="29"/>
      <c r="EZ100" s="29"/>
      <c r="FA100" s="29"/>
      <c r="FB100" s="29"/>
      <c r="FC100" s="29"/>
      <c r="FD100" s="29"/>
      <c r="FE100" s="29"/>
      <c r="FF100" s="29"/>
      <c r="FG100" s="29"/>
      <c r="FH100" s="29"/>
      <c r="FI100" s="29"/>
      <c r="FJ100" s="29"/>
      <c r="FK100" s="29"/>
      <c r="FL100" s="29"/>
      <c r="FM100" s="29"/>
      <c r="FN100" s="29"/>
      <c r="FO100" s="29"/>
    </row>
    <row r="101" spans="1:179" ht="12" x14ac:dyDescent="0.25">
      <c r="A101" s="392" t="s">
        <v>85</v>
      </c>
      <c r="B101" s="149">
        <v>6</v>
      </c>
      <c r="C101" s="158">
        <v>6</v>
      </c>
      <c r="D101" s="158">
        <v>2</v>
      </c>
      <c r="E101" s="158">
        <v>0</v>
      </c>
      <c r="F101" s="158">
        <v>6</v>
      </c>
      <c r="G101" s="158">
        <v>7</v>
      </c>
      <c r="H101" s="159">
        <v>8</v>
      </c>
      <c r="I101" s="159">
        <v>4</v>
      </c>
      <c r="J101" s="160">
        <v>6</v>
      </c>
      <c r="K101" s="158">
        <v>3</v>
      </c>
      <c r="L101" s="158">
        <v>6</v>
      </c>
      <c r="M101" s="158">
        <v>7</v>
      </c>
      <c r="N101" s="159">
        <v>10</v>
      </c>
      <c r="O101" s="265">
        <v>7</v>
      </c>
      <c r="P101" s="150">
        <v>9</v>
      </c>
      <c r="Q101" s="296">
        <v>3</v>
      </c>
      <c r="R101" s="296">
        <v>0</v>
      </c>
      <c r="S101" s="318">
        <v>6</v>
      </c>
      <c r="T101" s="296">
        <v>7</v>
      </c>
      <c r="U101" s="534">
        <v>9</v>
      </c>
      <c r="V101" s="713">
        <v>6</v>
      </c>
      <c r="W101" s="538">
        <v>3</v>
      </c>
      <c r="X101" s="150">
        <v>10</v>
      </c>
      <c r="Y101" s="150">
        <v>3</v>
      </c>
      <c r="Z101" s="276">
        <v>5</v>
      </c>
      <c r="AA101" s="276">
        <v>1</v>
      </c>
      <c r="AB101" s="276">
        <v>6</v>
      </c>
      <c r="AC101" s="276">
        <v>3</v>
      </c>
      <c r="AD101" s="276">
        <v>2</v>
      </c>
      <c r="AE101" s="276">
        <v>3</v>
      </c>
      <c r="AF101" s="80">
        <v>3</v>
      </c>
      <c r="AG101" s="755" t="str">
        <f t="shared" si="53"/>
        <v xml:space="preserve"> </v>
      </c>
      <c r="AH101" s="206" t="str">
        <f t="shared" si="54"/>
        <v xml:space="preserve"> </v>
      </c>
      <c r="AI101" s="207" t="str">
        <f t="shared" si="55"/>
        <v xml:space="preserve"> </v>
      </c>
      <c r="AJ101" s="120">
        <f t="shared" si="56"/>
        <v>2.6666666666666665</v>
      </c>
      <c r="AK101" s="86"/>
      <c r="AL101" s="86"/>
      <c r="AM101" s="91"/>
      <c r="AN101" s="91"/>
      <c r="AO101" s="91"/>
      <c r="AP101" s="91"/>
      <c r="AQ101" s="91"/>
      <c r="AR101" s="91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29"/>
      <c r="CA101" s="29"/>
      <c r="CB101" s="29"/>
      <c r="CC101" s="29"/>
      <c r="CD101" s="29"/>
      <c r="CE101" s="29"/>
      <c r="CF101" s="29"/>
      <c r="CG101" s="29"/>
      <c r="CH101" s="29"/>
      <c r="CI101" s="29"/>
      <c r="CJ101" s="29"/>
      <c r="CK101" s="29"/>
      <c r="CL101" s="29"/>
      <c r="CM101" s="29"/>
      <c r="CN101" s="29"/>
      <c r="CO101" s="29"/>
      <c r="CP101" s="29"/>
      <c r="CQ101" s="29"/>
      <c r="CR101" s="29"/>
      <c r="CS101" s="29"/>
      <c r="CT101" s="29"/>
      <c r="CU101" s="29"/>
      <c r="CV101" s="29"/>
      <c r="CW101" s="29"/>
      <c r="CX101" s="29"/>
      <c r="CY101" s="29"/>
      <c r="CZ101" s="29"/>
      <c r="DA101" s="29"/>
      <c r="DB101" s="29"/>
      <c r="DC101" s="29"/>
      <c r="DD101" s="29"/>
      <c r="DE101" s="29"/>
      <c r="DF101" s="29"/>
      <c r="DG101" s="29"/>
      <c r="DH101" s="29"/>
      <c r="DI101" s="29"/>
      <c r="DJ101" s="29"/>
      <c r="DK101" s="29"/>
      <c r="DL101" s="29"/>
      <c r="DM101" s="29"/>
      <c r="DN101" s="29"/>
      <c r="DO101" s="29"/>
      <c r="DP101" s="29"/>
      <c r="DQ101" s="29"/>
      <c r="DR101" s="29"/>
      <c r="DS101" s="29"/>
      <c r="DT101" s="29"/>
      <c r="DU101" s="29"/>
      <c r="DV101" s="29"/>
      <c r="DW101" s="29"/>
      <c r="DX101" s="29"/>
      <c r="DY101" s="29"/>
      <c r="DZ101" s="29"/>
      <c r="EA101" s="29"/>
      <c r="EB101" s="29"/>
      <c r="EC101" s="29"/>
      <c r="ED101" s="29"/>
      <c r="EE101" s="29"/>
      <c r="EF101" s="29"/>
      <c r="EG101" s="29"/>
      <c r="EH101" s="29"/>
      <c r="EI101" s="29"/>
      <c r="EJ101" s="29"/>
      <c r="EK101" s="29"/>
      <c r="EL101" s="29"/>
      <c r="EM101" s="29"/>
      <c r="EN101" s="29"/>
      <c r="EO101" s="29"/>
      <c r="EP101" s="29"/>
      <c r="EQ101" s="29"/>
      <c r="ER101" s="29"/>
      <c r="ES101" s="29"/>
      <c r="ET101" s="29"/>
      <c r="EU101" s="29"/>
      <c r="EV101" s="29"/>
      <c r="EW101" s="29"/>
      <c r="EX101" s="29"/>
      <c r="EY101" s="29"/>
      <c r="EZ101" s="29"/>
      <c r="FA101" s="29"/>
      <c r="FB101" s="29"/>
      <c r="FC101" s="29"/>
      <c r="FD101" s="29"/>
      <c r="FE101" s="29"/>
      <c r="FF101" s="29"/>
      <c r="FG101" s="29"/>
      <c r="FH101" s="29"/>
      <c r="FI101" s="29"/>
      <c r="FJ101" s="29"/>
      <c r="FK101" s="29"/>
      <c r="FL101" s="29"/>
      <c r="FM101" s="29"/>
      <c r="FN101" s="29"/>
      <c r="FO101" s="29"/>
    </row>
    <row r="102" spans="1:179" ht="12.6" thickBot="1" x14ac:dyDescent="0.3">
      <c r="A102" s="636" t="s">
        <v>73</v>
      </c>
      <c r="B102" s="637">
        <f>SUM(B98:B101)</f>
        <v>18</v>
      </c>
      <c r="C102" s="637">
        <f t="shared" ref="C102:AF102" si="57">SUM(C98:C101)</f>
        <v>13</v>
      </c>
      <c r="D102" s="637">
        <f t="shared" si="57"/>
        <v>13</v>
      </c>
      <c r="E102" s="637">
        <f t="shared" si="57"/>
        <v>13</v>
      </c>
      <c r="F102" s="637">
        <f t="shared" si="57"/>
        <v>22</v>
      </c>
      <c r="G102" s="637">
        <f t="shared" si="57"/>
        <v>22</v>
      </c>
      <c r="H102" s="637">
        <f t="shared" si="57"/>
        <v>23</v>
      </c>
      <c r="I102" s="637">
        <f t="shared" si="57"/>
        <v>27</v>
      </c>
      <c r="J102" s="637">
        <f t="shared" si="57"/>
        <v>23</v>
      </c>
      <c r="K102" s="637">
        <f t="shared" si="57"/>
        <v>25</v>
      </c>
      <c r="L102" s="637">
        <f t="shared" si="57"/>
        <v>33</v>
      </c>
      <c r="M102" s="637">
        <f t="shared" si="57"/>
        <v>27</v>
      </c>
      <c r="N102" s="637">
        <f t="shared" si="57"/>
        <v>32</v>
      </c>
      <c r="O102" s="638">
        <f t="shared" si="57"/>
        <v>29</v>
      </c>
      <c r="P102" s="638">
        <f t="shared" si="57"/>
        <v>33</v>
      </c>
      <c r="Q102" s="639">
        <f t="shared" si="57"/>
        <v>29</v>
      </c>
      <c r="R102" s="639">
        <f t="shared" si="57"/>
        <v>41</v>
      </c>
      <c r="S102" s="639">
        <f t="shared" si="57"/>
        <v>50</v>
      </c>
      <c r="T102" s="639">
        <f t="shared" si="57"/>
        <v>56</v>
      </c>
      <c r="U102" s="640">
        <f t="shared" si="57"/>
        <v>50</v>
      </c>
      <c r="V102" s="714">
        <f t="shared" si="57"/>
        <v>58</v>
      </c>
      <c r="W102" s="641">
        <f t="shared" si="57"/>
        <v>39</v>
      </c>
      <c r="X102" s="637">
        <f t="shared" si="57"/>
        <v>59</v>
      </c>
      <c r="Y102" s="637">
        <f t="shared" si="57"/>
        <v>57</v>
      </c>
      <c r="Z102" s="637">
        <f t="shared" ref="Z102:AD102" si="58">SUM(Z98:Z101)</f>
        <v>48</v>
      </c>
      <c r="AA102" s="637">
        <f t="shared" si="58"/>
        <v>39</v>
      </c>
      <c r="AB102" s="637">
        <f t="shared" si="58"/>
        <v>48</v>
      </c>
      <c r="AC102" s="637">
        <f t="shared" si="58"/>
        <v>49</v>
      </c>
      <c r="AD102" s="637">
        <f t="shared" si="58"/>
        <v>15</v>
      </c>
      <c r="AE102" s="637">
        <f t="shared" si="57"/>
        <v>14</v>
      </c>
      <c r="AF102" s="638">
        <f t="shared" si="57"/>
        <v>21</v>
      </c>
      <c r="AG102" s="776" t="str">
        <f t="shared" si="53"/>
        <v xml:space="preserve"> </v>
      </c>
      <c r="AH102" s="642" t="str">
        <f t="shared" si="54"/>
        <v xml:space="preserve"> </v>
      </c>
      <c r="AI102" s="642" t="str">
        <f t="shared" si="55"/>
        <v xml:space="preserve"> </v>
      </c>
      <c r="AJ102" s="637">
        <f t="shared" si="56"/>
        <v>16.666666666666668</v>
      </c>
      <c r="AK102" s="93"/>
      <c r="AL102" s="86"/>
      <c r="AM102" s="94"/>
      <c r="AN102" s="94"/>
      <c r="AO102" s="94"/>
      <c r="AP102" s="94"/>
      <c r="AQ102" s="94"/>
      <c r="AR102" s="94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6"/>
      <c r="BG102" s="56"/>
      <c r="BH102" s="56"/>
      <c r="BI102" s="56"/>
      <c r="BJ102" s="56"/>
      <c r="BK102" s="56"/>
      <c r="BL102" s="56"/>
      <c r="BM102" s="56"/>
      <c r="BN102" s="56"/>
      <c r="BO102" s="56"/>
      <c r="BP102" s="56"/>
      <c r="BQ102" s="56"/>
      <c r="BR102" s="56"/>
      <c r="BS102" s="56"/>
      <c r="BT102" s="56"/>
      <c r="BU102" s="56"/>
      <c r="BV102" s="56"/>
      <c r="BW102" s="56"/>
      <c r="BX102" s="56"/>
      <c r="BY102" s="56"/>
      <c r="BZ102" s="56"/>
      <c r="CA102" s="56"/>
      <c r="CB102" s="56"/>
      <c r="CC102" s="56"/>
      <c r="CD102" s="56"/>
      <c r="CE102" s="56"/>
      <c r="CF102" s="56"/>
      <c r="CG102" s="56"/>
      <c r="CH102" s="56"/>
      <c r="CI102" s="56"/>
      <c r="CJ102" s="56"/>
      <c r="CK102" s="56"/>
      <c r="CL102" s="56"/>
      <c r="CM102" s="56"/>
      <c r="CN102" s="56"/>
      <c r="CO102" s="56"/>
      <c r="CP102" s="56"/>
      <c r="CQ102" s="56"/>
      <c r="CR102" s="56"/>
      <c r="CS102" s="56"/>
      <c r="CT102" s="56"/>
      <c r="CU102" s="56"/>
      <c r="CV102" s="56"/>
      <c r="CW102" s="56"/>
      <c r="CX102" s="56"/>
      <c r="CY102" s="56"/>
      <c r="CZ102" s="56"/>
      <c r="DA102" s="56"/>
      <c r="DB102" s="56"/>
      <c r="DC102" s="56"/>
      <c r="DD102" s="56"/>
      <c r="DE102" s="56"/>
      <c r="DF102" s="56"/>
      <c r="DG102" s="56"/>
      <c r="DH102" s="56"/>
      <c r="DI102" s="56"/>
      <c r="DJ102" s="56"/>
      <c r="DK102" s="56"/>
      <c r="DL102" s="56"/>
      <c r="DM102" s="56"/>
      <c r="DN102" s="56"/>
      <c r="DO102" s="56"/>
      <c r="DP102" s="56"/>
      <c r="DQ102" s="56"/>
      <c r="DR102" s="56"/>
      <c r="DS102" s="56"/>
      <c r="DT102" s="56"/>
      <c r="DU102" s="56"/>
      <c r="DV102" s="56"/>
      <c r="DW102" s="56"/>
      <c r="DX102" s="56"/>
      <c r="DY102" s="56"/>
      <c r="DZ102" s="56"/>
      <c r="EA102" s="56"/>
      <c r="EB102" s="56"/>
      <c r="EC102" s="56"/>
      <c r="ED102" s="56"/>
      <c r="EE102" s="56"/>
      <c r="EF102" s="56"/>
      <c r="EG102" s="56"/>
      <c r="EH102" s="56"/>
      <c r="EI102" s="56"/>
      <c r="EJ102" s="56"/>
      <c r="EK102" s="56"/>
      <c r="EL102" s="56"/>
      <c r="EM102" s="56"/>
      <c r="EN102" s="56"/>
      <c r="EO102" s="56"/>
      <c r="EP102" s="56"/>
      <c r="EQ102" s="56"/>
      <c r="ER102" s="56"/>
      <c r="ES102" s="56"/>
      <c r="ET102" s="56"/>
      <c r="EU102" s="56"/>
      <c r="EV102" s="56"/>
      <c r="EW102" s="56"/>
      <c r="EX102" s="56"/>
      <c r="EY102" s="56"/>
      <c r="EZ102" s="56"/>
      <c r="FA102" s="56"/>
      <c r="FB102" s="56"/>
      <c r="FC102" s="56"/>
      <c r="FD102" s="56"/>
      <c r="FE102" s="56"/>
      <c r="FF102" s="56"/>
      <c r="FG102" s="56"/>
      <c r="FH102" s="56"/>
      <c r="FI102" s="56"/>
      <c r="FJ102" s="56"/>
      <c r="FK102" s="56"/>
      <c r="FL102" s="56"/>
      <c r="FM102" s="56"/>
      <c r="FN102" s="56"/>
      <c r="FO102" s="56"/>
      <c r="FP102" s="56"/>
      <c r="FQ102" s="56"/>
      <c r="FR102" s="56"/>
      <c r="FS102" s="56"/>
      <c r="FT102" s="56"/>
      <c r="FU102" s="56"/>
      <c r="FV102" s="56"/>
      <c r="FW102" s="56"/>
    </row>
    <row r="103" spans="1:179" ht="13.8" thickTop="1" x14ac:dyDescent="0.25">
      <c r="A103" s="393" t="s">
        <v>74</v>
      </c>
      <c r="B103" s="124"/>
      <c r="C103" s="124"/>
      <c r="D103" s="125"/>
      <c r="E103" s="125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126"/>
      <c r="AA103" s="126"/>
      <c r="AB103" s="126"/>
      <c r="AC103" s="126"/>
      <c r="AD103" s="126"/>
      <c r="AE103" s="126"/>
      <c r="AF103" s="126"/>
      <c r="AG103" s="126"/>
      <c r="AH103" s="126"/>
      <c r="AI103" s="103"/>
      <c r="AJ103" s="104"/>
      <c r="AK103" s="93"/>
      <c r="AL103" s="86"/>
      <c r="AM103" s="94"/>
      <c r="AN103" s="94"/>
      <c r="AO103" s="94"/>
      <c r="AP103" s="94"/>
      <c r="AQ103" s="94"/>
      <c r="AR103" s="94"/>
      <c r="AS103" s="56"/>
      <c r="AT103" s="56"/>
      <c r="AU103" s="56"/>
      <c r="AV103" s="56"/>
      <c r="AW103" s="56"/>
      <c r="AX103" s="56"/>
      <c r="AY103" s="56"/>
      <c r="AZ103" s="56"/>
      <c r="BA103" s="56"/>
      <c r="BB103" s="56"/>
      <c r="BC103" s="56"/>
      <c r="BD103" s="56"/>
      <c r="BE103" s="56"/>
      <c r="BF103" s="56"/>
      <c r="BG103" s="56"/>
      <c r="BH103" s="56"/>
      <c r="BI103" s="56"/>
      <c r="BJ103" s="56"/>
      <c r="BK103" s="56"/>
      <c r="BL103" s="56"/>
      <c r="BM103" s="56"/>
      <c r="BN103" s="56"/>
      <c r="BO103" s="56"/>
      <c r="BP103" s="56"/>
      <c r="BQ103" s="56"/>
      <c r="BR103" s="56"/>
      <c r="BS103" s="56"/>
      <c r="BT103" s="56"/>
      <c r="BU103" s="56"/>
      <c r="BV103" s="56"/>
      <c r="BW103" s="56"/>
      <c r="BX103" s="56"/>
      <c r="BY103" s="56"/>
      <c r="BZ103" s="56"/>
      <c r="CA103" s="56"/>
      <c r="CB103" s="56"/>
      <c r="CC103" s="56"/>
      <c r="CD103" s="56"/>
      <c r="CE103" s="56"/>
      <c r="CF103" s="56"/>
      <c r="CG103" s="56"/>
      <c r="CH103" s="56"/>
      <c r="CI103" s="56"/>
      <c r="CJ103" s="56"/>
      <c r="CK103" s="56"/>
      <c r="CL103" s="56"/>
      <c r="CM103" s="56"/>
      <c r="CN103" s="56"/>
      <c r="CO103" s="56"/>
      <c r="CP103" s="56"/>
      <c r="CQ103" s="56"/>
      <c r="CR103" s="56"/>
      <c r="CS103" s="56"/>
      <c r="CT103" s="56"/>
      <c r="CU103" s="56"/>
      <c r="CV103" s="56"/>
      <c r="CW103" s="56"/>
      <c r="CX103" s="56"/>
      <c r="CY103" s="56"/>
      <c r="CZ103" s="56"/>
      <c r="DA103" s="56"/>
      <c r="DB103" s="56"/>
      <c r="DC103" s="56"/>
      <c r="DD103" s="56"/>
      <c r="DE103" s="56"/>
      <c r="DF103" s="56"/>
      <c r="DG103" s="56"/>
      <c r="DH103" s="56"/>
      <c r="DI103" s="56"/>
      <c r="DJ103" s="56"/>
      <c r="DK103" s="56"/>
      <c r="DL103" s="56"/>
      <c r="DM103" s="56"/>
      <c r="DN103" s="56"/>
      <c r="DO103" s="56"/>
      <c r="DP103" s="56"/>
      <c r="DQ103" s="56"/>
      <c r="DR103" s="56"/>
      <c r="DS103" s="56"/>
      <c r="DT103" s="56"/>
      <c r="DU103" s="56"/>
      <c r="DV103" s="56"/>
      <c r="DW103" s="56"/>
      <c r="DX103" s="56"/>
      <c r="DY103" s="56"/>
      <c r="DZ103" s="56"/>
      <c r="EA103" s="56"/>
      <c r="EB103" s="56"/>
      <c r="EC103" s="56"/>
      <c r="ED103" s="56"/>
      <c r="EE103" s="56"/>
      <c r="EF103" s="56"/>
      <c r="EG103" s="56"/>
      <c r="EH103" s="56"/>
      <c r="EI103" s="56"/>
      <c r="EJ103" s="56"/>
      <c r="EK103" s="56"/>
      <c r="EL103" s="56"/>
      <c r="EM103" s="56"/>
      <c r="EN103" s="56"/>
      <c r="EO103" s="56"/>
      <c r="EP103" s="56"/>
      <c r="EQ103" s="56"/>
      <c r="ER103" s="56"/>
      <c r="ES103" s="56"/>
      <c r="ET103" s="56"/>
      <c r="EU103" s="56"/>
      <c r="EV103" s="56"/>
      <c r="EW103" s="56"/>
      <c r="EX103" s="56"/>
      <c r="EY103" s="56"/>
      <c r="EZ103" s="56"/>
      <c r="FA103" s="56"/>
      <c r="FB103" s="56"/>
      <c r="FC103" s="56"/>
      <c r="FD103" s="56"/>
      <c r="FE103" s="56"/>
      <c r="FF103" s="56"/>
      <c r="FG103" s="56"/>
      <c r="FH103" s="56"/>
      <c r="FI103" s="56"/>
      <c r="FJ103" s="56"/>
      <c r="FK103" s="56"/>
      <c r="FL103" s="56"/>
      <c r="FM103" s="56"/>
      <c r="FN103" s="56"/>
      <c r="FO103" s="56"/>
      <c r="FP103" s="56"/>
      <c r="FQ103" s="56"/>
      <c r="FR103" s="56"/>
      <c r="FS103" s="56"/>
      <c r="FT103" s="56"/>
      <c r="FU103" s="56"/>
      <c r="FV103" s="56"/>
      <c r="FW103" s="56"/>
    </row>
    <row r="104" spans="1:179" ht="12" x14ac:dyDescent="0.25">
      <c r="A104" s="350" t="s">
        <v>137</v>
      </c>
      <c r="B104" s="643"/>
      <c r="C104" s="643"/>
      <c r="D104" s="643"/>
      <c r="E104" s="643"/>
      <c r="F104" s="643"/>
      <c r="G104" s="644"/>
      <c r="H104" s="645"/>
      <c r="I104" s="645">
        <v>0</v>
      </c>
      <c r="J104" s="646"/>
      <c r="K104" s="646"/>
      <c r="L104" s="646">
        <v>0</v>
      </c>
      <c r="M104" s="646"/>
      <c r="N104" s="645"/>
      <c r="O104" s="647">
        <v>0</v>
      </c>
      <c r="P104" s="647">
        <v>0</v>
      </c>
      <c r="Q104" s="298">
        <v>0</v>
      </c>
      <c r="R104" s="298">
        <v>0</v>
      </c>
      <c r="S104" s="310">
        <v>2</v>
      </c>
      <c r="T104" s="298">
        <v>2</v>
      </c>
      <c r="U104" s="536">
        <v>6</v>
      </c>
      <c r="V104" s="705">
        <v>4</v>
      </c>
      <c r="W104" s="169">
        <v>5</v>
      </c>
      <c r="X104" s="645">
        <v>2</v>
      </c>
      <c r="Y104" s="645">
        <v>4</v>
      </c>
      <c r="Z104" s="648">
        <v>2</v>
      </c>
      <c r="AA104" s="648">
        <v>6</v>
      </c>
      <c r="AB104" s="648">
        <v>3</v>
      </c>
      <c r="AC104" s="648">
        <v>3</v>
      </c>
      <c r="AD104" s="648">
        <v>3</v>
      </c>
      <c r="AE104" s="648">
        <v>4</v>
      </c>
      <c r="AF104" s="745">
        <v>4</v>
      </c>
      <c r="AG104" s="767" t="str">
        <f t="shared" ref="AG104:AG107" si="59">IF(AF104=0," ",IF(AJ104&gt;20,(AF104-AE104)/AE104," "))</f>
        <v xml:space="preserve"> </v>
      </c>
      <c r="AH104" s="649" t="str">
        <f t="shared" ref="AH104:AH107" si="60">IF(AF104=0," ",IF(AJ104&gt;20,(AF104-AA104)/AA104," "))</f>
        <v xml:space="preserve"> </v>
      </c>
      <c r="AI104" s="650" t="str">
        <f t="shared" ref="AI104:AI107" si="61">IF(AF104=0," ",(IF(AJ104&gt;20,(AF104-V104)/V104," ")))</f>
        <v xml:space="preserve"> </v>
      </c>
      <c r="AJ104" s="651">
        <f t="shared" ref="AJ104:AJ107" si="62">IF(AD104&gt;0,AVERAGE(AD104:AF104),"  ")</f>
        <v>3.6666666666666665</v>
      </c>
      <c r="AK104" s="86"/>
      <c r="AL104" s="86"/>
      <c r="AM104" s="91"/>
      <c r="AN104" s="91"/>
      <c r="AO104" s="91"/>
      <c r="AP104" s="91"/>
      <c r="AQ104" s="91"/>
      <c r="AR104" s="91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29"/>
      <c r="BZ104" s="29"/>
      <c r="CA104" s="29"/>
      <c r="CB104" s="29"/>
      <c r="CC104" s="29"/>
      <c r="CD104" s="29"/>
      <c r="CE104" s="29"/>
      <c r="CF104" s="29"/>
      <c r="CG104" s="29"/>
      <c r="CH104" s="29"/>
      <c r="CI104" s="29"/>
      <c r="CJ104" s="29"/>
      <c r="CK104" s="29"/>
      <c r="CL104" s="29"/>
      <c r="CM104" s="29"/>
      <c r="CN104" s="29"/>
      <c r="CO104" s="29"/>
      <c r="CP104" s="29"/>
      <c r="CQ104" s="29"/>
      <c r="CR104" s="29"/>
      <c r="CS104" s="29"/>
      <c r="CT104" s="29"/>
      <c r="CU104" s="29"/>
      <c r="CV104" s="29"/>
      <c r="CW104" s="29"/>
      <c r="CX104" s="29"/>
      <c r="CY104" s="29"/>
      <c r="CZ104" s="29"/>
      <c r="DA104" s="29"/>
      <c r="DB104" s="29"/>
      <c r="DC104" s="29"/>
      <c r="DD104" s="29"/>
      <c r="DE104" s="29"/>
      <c r="DF104" s="29"/>
      <c r="DG104" s="29"/>
      <c r="DH104" s="29"/>
      <c r="DI104" s="29"/>
      <c r="DJ104" s="29"/>
      <c r="DK104" s="29"/>
      <c r="DL104" s="29"/>
      <c r="DM104" s="29"/>
      <c r="DN104" s="29"/>
      <c r="DO104" s="29"/>
      <c r="DP104" s="29"/>
      <c r="DQ104" s="29"/>
      <c r="DR104" s="29"/>
      <c r="DS104" s="29"/>
      <c r="DT104" s="29"/>
      <c r="DU104" s="29"/>
      <c r="DV104" s="29"/>
      <c r="DW104" s="29"/>
      <c r="DX104" s="29"/>
      <c r="DY104" s="29"/>
      <c r="DZ104" s="29"/>
      <c r="EA104" s="29"/>
      <c r="EB104" s="29"/>
      <c r="EC104" s="29"/>
      <c r="ED104" s="29"/>
      <c r="EE104" s="29"/>
      <c r="EF104" s="29"/>
      <c r="EG104" s="29"/>
      <c r="EH104" s="29"/>
      <c r="EI104" s="29"/>
      <c r="EJ104" s="29"/>
      <c r="EK104" s="29"/>
      <c r="EL104" s="29"/>
      <c r="EM104" s="29"/>
      <c r="EN104" s="29"/>
      <c r="EO104" s="29"/>
      <c r="EP104" s="29"/>
      <c r="EQ104" s="29"/>
      <c r="ER104" s="29"/>
      <c r="ES104" s="29"/>
      <c r="ET104" s="29"/>
      <c r="EU104" s="29"/>
      <c r="EV104" s="29"/>
      <c r="EW104" s="29"/>
      <c r="EX104" s="29"/>
      <c r="EY104" s="29"/>
      <c r="EZ104" s="29"/>
      <c r="FA104" s="29"/>
      <c r="FB104" s="29"/>
      <c r="FC104" s="29"/>
      <c r="FD104" s="29"/>
      <c r="FE104" s="29"/>
      <c r="FF104" s="29"/>
      <c r="FG104" s="29"/>
      <c r="FH104" s="29"/>
      <c r="FI104" s="29"/>
      <c r="FJ104" s="29"/>
      <c r="FK104" s="29"/>
      <c r="FL104" s="29"/>
      <c r="FM104" s="29"/>
      <c r="FN104" s="29"/>
      <c r="FO104" s="29"/>
    </row>
    <row r="105" spans="1:179" ht="12" x14ac:dyDescent="0.25">
      <c r="A105" s="350" t="s">
        <v>86</v>
      </c>
      <c r="B105" s="71"/>
      <c r="C105" s="118"/>
      <c r="D105" s="71"/>
      <c r="E105" s="71"/>
      <c r="F105" s="71">
        <v>0</v>
      </c>
      <c r="G105" s="71"/>
      <c r="H105" s="5"/>
      <c r="I105" s="5"/>
      <c r="J105" s="72"/>
      <c r="K105" s="71"/>
      <c r="L105" s="71">
        <v>0</v>
      </c>
      <c r="M105" s="71">
        <v>0</v>
      </c>
      <c r="N105" s="5">
        <v>0</v>
      </c>
      <c r="O105" s="239">
        <v>0</v>
      </c>
      <c r="P105" s="239">
        <v>7</v>
      </c>
      <c r="Q105" s="280">
        <v>3</v>
      </c>
      <c r="R105" s="280">
        <v>6</v>
      </c>
      <c r="S105" s="311">
        <v>9</v>
      </c>
      <c r="T105" s="280">
        <v>12</v>
      </c>
      <c r="U105" s="502">
        <v>8</v>
      </c>
      <c r="V105" s="679">
        <v>9</v>
      </c>
      <c r="W105" s="249">
        <v>3</v>
      </c>
      <c r="X105" s="5">
        <v>5</v>
      </c>
      <c r="Y105" s="5">
        <v>9</v>
      </c>
      <c r="Z105" s="72">
        <v>12</v>
      </c>
      <c r="AA105" s="72">
        <v>8</v>
      </c>
      <c r="AB105" s="72">
        <v>3</v>
      </c>
      <c r="AC105" s="72">
        <v>9</v>
      </c>
      <c r="AD105" s="72">
        <v>11</v>
      </c>
      <c r="AE105" s="72">
        <v>4</v>
      </c>
      <c r="AF105" s="80">
        <v>8</v>
      </c>
      <c r="AG105" s="772" t="str">
        <f t="shared" si="59"/>
        <v xml:space="preserve"> </v>
      </c>
      <c r="AH105" s="173" t="str">
        <f t="shared" si="60"/>
        <v xml:space="preserve"> </v>
      </c>
      <c r="AI105" s="174" t="str">
        <f t="shared" si="61"/>
        <v xml:space="preserve"> </v>
      </c>
      <c r="AJ105" s="120">
        <f t="shared" si="62"/>
        <v>7.666666666666667</v>
      </c>
      <c r="AK105" s="86"/>
      <c r="AL105" s="86"/>
      <c r="AM105" s="91"/>
      <c r="AN105" s="91"/>
      <c r="AO105" s="91"/>
      <c r="AP105" s="91"/>
      <c r="AQ105" s="91"/>
      <c r="AR105" s="91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29"/>
      <c r="CA105" s="29"/>
      <c r="CB105" s="29"/>
      <c r="CC105" s="29"/>
      <c r="CD105" s="29"/>
      <c r="CE105" s="29"/>
      <c r="CF105" s="29"/>
      <c r="CG105" s="29"/>
      <c r="CH105" s="29"/>
      <c r="CI105" s="29"/>
      <c r="CJ105" s="29"/>
      <c r="CK105" s="29"/>
      <c r="CL105" s="29"/>
      <c r="CM105" s="29"/>
      <c r="CN105" s="29"/>
      <c r="CO105" s="29"/>
      <c r="CP105" s="29"/>
      <c r="CQ105" s="29"/>
      <c r="CR105" s="29"/>
      <c r="CS105" s="29"/>
      <c r="CT105" s="29"/>
      <c r="CU105" s="29"/>
      <c r="CV105" s="29"/>
      <c r="CW105" s="29"/>
      <c r="CX105" s="29"/>
      <c r="CY105" s="29"/>
      <c r="CZ105" s="29"/>
      <c r="DA105" s="29"/>
      <c r="DB105" s="29"/>
      <c r="DC105" s="29"/>
      <c r="DD105" s="29"/>
      <c r="DE105" s="29"/>
      <c r="DF105" s="29"/>
      <c r="DG105" s="29"/>
      <c r="DH105" s="29"/>
      <c r="DI105" s="29"/>
      <c r="DJ105" s="29"/>
      <c r="DK105" s="29"/>
      <c r="DL105" s="29"/>
      <c r="DM105" s="29"/>
      <c r="DN105" s="29"/>
      <c r="DO105" s="29"/>
      <c r="DP105" s="29"/>
      <c r="DQ105" s="29"/>
      <c r="DR105" s="29"/>
      <c r="DS105" s="29"/>
      <c r="DT105" s="29"/>
      <c r="DU105" s="29"/>
      <c r="DV105" s="29"/>
      <c r="DW105" s="29"/>
      <c r="DX105" s="29"/>
      <c r="DY105" s="29"/>
      <c r="DZ105" s="29"/>
      <c r="EA105" s="29"/>
      <c r="EB105" s="29"/>
      <c r="EC105" s="29"/>
      <c r="ED105" s="29"/>
      <c r="EE105" s="29"/>
      <c r="EF105" s="29"/>
      <c r="EG105" s="29"/>
      <c r="EH105" s="29"/>
      <c r="EI105" s="29"/>
      <c r="EJ105" s="29"/>
      <c r="EK105" s="29"/>
      <c r="EL105" s="29"/>
      <c r="EM105" s="29"/>
      <c r="EN105" s="29"/>
      <c r="EO105" s="29"/>
      <c r="EP105" s="29"/>
      <c r="EQ105" s="29"/>
      <c r="ER105" s="29"/>
      <c r="ES105" s="29"/>
      <c r="ET105" s="29"/>
      <c r="EU105" s="29"/>
      <c r="EV105" s="29"/>
      <c r="EW105" s="29"/>
      <c r="EX105" s="29"/>
      <c r="EY105" s="29"/>
      <c r="EZ105" s="29"/>
      <c r="FA105" s="29"/>
      <c r="FB105" s="29"/>
      <c r="FC105" s="29"/>
      <c r="FD105" s="29"/>
      <c r="FE105" s="29"/>
      <c r="FF105" s="29"/>
      <c r="FG105" s="29"/>
      <c r="FH105" s="29"/>
      <c r="FI105" s="29"/>
      <c r="FJ105" s="29"/>
      <c r="FK105" s="29"/>
      <c r="FL105" s="29"/>
      <c r="FM105" s="29"/>
      <c r="FN105" s="29"/>
      <c r="FO105" s="29"/>
    </row>
    <row r="106" spans="1:179" ht="12" x14ac:dyDescent="0.25">
      <c r="A106" s="447" t="s">
        <v>87</v>
      </c>
      <c r="B106" s="479">
        <v>0</v>
      </c>
      <c r="C106" s="74">
        <v>0</v>
      </c>
      <c r="D106" s="479"/>
      <c r="E106" s="479">
        <v>0</v>
      </c>
      <c r="F106" s="479">
        <v>0</v>
      </c>
      <c r="G106" s="448">
        <v>0</v>
      </c>
      <c r="H106" s="7">
        <v>0</v>
      </c>
      <c r="I106" s="7">
        <v>0</v>
      </c>
      <c r="J106" s="448">
        <v>1</v>
      </c>
      <c r="K106" s="448">
        <v>3</v>
      </c>
      <c r="L106" s="448">
        <v>7</v>
      </c>
      <c r="M106" s="448">
        <v>7</v>
      </c>
      <c r="N106" s="7">
        <v>4</v>
      </c>
      <c r="O106" s="240">
        <v>4</v>
      </c>
      <c r="P106" s="240">
        <v>9</v>
      </c>
      <c r="Q106" s="300">
        <v>4</v>
      </c>
      <c r="R106" s="300">
        <v>3</v>
      </c>
      <c r="S106" s="312">
        <v>6</v>
      </c>
      <c r="T106" s="300">
        <v>3</v>
      </c>
      <c r="U106" s="540">
        <v>4</v>
      </c>
      <c r="V106" s="709">
        <v>4</v>
      </c>
      <c r="W106" s="309">
        <v>2</v>
      </c>
      <c r="X106" s="7">
        <v>5</v>
      </c>
      <c r="Y106" s="7">
        <v>1</v>
      </c>
      <c r="Z106" s="8">
        <v>1</v>
      </c>
      <c r="AA106" s="8">
        <v>0</v>
      </c>
      <c r="AB106" s="8">
        <v>6</v>
      </c>
      <c r="AC106" s="8">
        <v>3</v>
      </c>
      <c r="AD106" s="8">
        <v>4</v>
      </c>
      <c r="AE106" s="8">
        <v>1</v>
      </c>
      <c r="AF106" s="746">
        <v>2</v>
      </c>
      <c r="AG106" s="770" t="str">
        <f t="shared" si="59"/>
        <v xml:space="preserve"> </v>
      </c>
      <c r="AH106" s="177" t="str">
        <f t="shared" si="60"/>
        <v xml:space="preserve"> </v>
      </c>
      <c r="AI106" s="178" t="str">
        <f t="shared" si="61"/>
        <v xml:space="preserve"> </v>
      </c>
      <c r="AJ106" s="222">
        <f t="shared" si="62"/>
        <v>2.3333333333333335</v>
      </c>
      <c r="AK106" s="86"/>
      <c r="AL106" s="86"/>
      <c r="AM106" s="91"/>
      <c r="AN106" s="91"/>
      <c r="AO106" s="91"/>
      <c r="AP106" s="91"/>
      <c r="AQ106" s="91"/>
      <c r="AR106" s="91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9"/>
      <c r="BU106" s="29"/>
      <c r="BV106" s="29"/>
      <c r="BW106" s="29"/>
      <c r="BX106" s="29"/>
      <c r="BY106" s="29"/>
      <c r="BZ106" s="29"/>
      <c r="CA106" s="29"/>
      <c r="CB106" s="29"/>
      <c r="CC106" s="29"/>
      <c r="CD106" s="29"/>
      <c r="CE106" s="29"/>
      <c r="CF106" s="29"/>
      <c r="CG106" s="29"/>
      <c r="CH106" s="29"/>
      <c r="CI106" s="29"/>
      <c r="CJ106" s="29"/>
      <c r="CK106" s="29"/>
      <c r="CL106" s="29"/>
      <c r="CM106" s="29"/>
      <c r="CN106" s="29"/>
      <c r="CO106" s="29"/>
      <c r="CP106" s="29"/>
      <c r="CQ106" s="29"/>
      <c r="CR106" s="29"/>
      <c r="CS106" s="29"/>
      <c r="CT106" s="29"/>
      <c r="CU106" s="29"/>
      <c r="CV106" s="29"/>
      <c r="CW106" s="29"/>
      <c r="CX106" s="29"/>
      <c r="CY106" s="29"/>
      <c r="CZ106" s="29"/>
      <c r="DA106" s="29"/>
      <c r="DB106" s="29"/>
      <c r="DC106" s="29"/>
      <c r="DD106" s="29"/>
      <c r="DE106" s="29"/>
      <c r="DF106" s="29"/>
      <c r="DG106" s="29"/>
      <c r="DH106" s="29"/>
      <c r="DI106" s="29"/>
      <c r="DJ106" s="29"/>
      <c r="DK106" s="29"/>
      <c r="DL106" s="29"/>
      <c r="DM106" s="29"/>
      <c r="DN106" s="29"/>
      <c r="DO106" s="29"/>
      <c r="DP106" s="29"/>
      <c r="DQ106" s="29"/>
      <c r="DR106" s="29"/>
      <c r="DS106" s="29"/>
      <c r="DT106" s="29"/>
      <c r="DU106" s="29"/>
      <c r="DV106" s="29"/>
      <c r="DW106" s="29"/>
      <c r="DX106" s="29"/>
      <c r="DY106" s="29"/>
      <c r="DZ106" s="29"/>
      <c r="EA106" s="29"/>
      <c r="EB106" s="29"/>
      <c r="EC106" s="29"/>
      <c r="ED106" s="29"/>
      <c r="EE106" s="29"/>
      <c r="EF106" s="29"/>
      <c r="EG106" s="29"/>
      <c r="EH106" s="29"/>
      <c r="EI106" s="29"/>
      <c r="EJ106" s="29"/>
      <c r="EK106" s="29"/>
      <c r="EL106" s="29"/>
      <c r="EM106" s="29"/>
      <c r="EN106" s="29"/>
      <c r="EO106" s="29"/>
      <c r="EP106" s="29"/>
      <c r="EQ106" s="29"/>
      <c r="ER106" s="29"/>
      <c r="ES106" s="29"/>
      <c r="ET106" s="29"/>
      <c r="EU106" s="29"/>
      <c r="EV106" s="29"/>
      <c r="EW106" s="29"/>
      <c r="EX106" s="29"/>
      <c r="EY106" s="29"/>
      <c r="EZ106" s="29"/>
      <c r="FA106" s="29"/>
      <c r="FB106" s="29"/>
      <c r="FC106" s="29"/>
      <c r="FD106" s="29"/>
      <c r="FE106" s="29"/>
      <c r="FF106" s="29"/>
      <c r="FG106" s="29"/>
      <c r="FH106" s="29"/>
      <c r="FI106" s="29"/>
      <c r="FJ106" s="29"/>
      <c r="FK106" s="29"/>
      <c r="FL106" s="29"/>
      <c r="FM106" s="29"/>
      <c r="FN106" s="29"/>
      <c r="FO106" s="29"/>
    </row>
    <row r="107" spans="1:179" ht="12.6" thickBot="1" x14ac:dyDescent="0.3">
      <c r="A107" s="630" t="s">
        <v>75</v>
      </c>
      <c r="B107" s="631">
        <f>+B104+B105+B106</f>
        <v>0</v>
      </c>
      <c r="C107" s="631">
        <f t="shared" ref="C107:AF107" si="63">+C104+C105+C106</f>
        <v>0</v>
      </c>
      <c r="D107" s="631">
        <f t="shared" si="63"/>
        <v>0</v>
      </c>
      <c r="E107" s="631">
        <f t="shared" si="63"/>
        <v>0</v>
      </c>
      <c r="F107" s="631">
        <f t="shared" si="63"/>
        <v>0</v>
      </c>
      <c r="G107" s="631">
        <f t="shared" si="63"/>
        <v>0</v>
      </c>
      <c r="H107" s="631">
        <f t="shared" si="63"/>
        <v>0</v>
      </c>
      <c r="I107" s="631">
        <f t="shared" si="63"/>
        <v>0</v>
      </c>
      <c r="J107" s="631">
        <f t="shared" si="63"/>
        <v>1</v>
      </c>
      <c r="K107" s="631">
        <f t="shared" si="63"/>
        <v>3</v>
      </c>
      <c r="L107" s="631">
        <f t="shared" si="63"/>
        <v>7</v>
      </c>
      <c r="M107" s="631">
        <f t="shared" si="63"/>
        <v>7</v>
      </c>
      <c r="N107" s="631">
        <f t="shared" si="63"/>
        <v>4</v>
      </c>
      <c r="O107" s="632">
        <f t="shared" si="63"/>
        <v>4</v>
      </c>
      <c r="P107" s="632">
        <f t="shared" si="63"/>
        <v>16</v>
      </c>
      <c r="Q107" s="633">
        <f t="shared" si="63"/>
        <v>7</v>
      </c>
      <c r="R107" s="633">
        <f t="shared" si="63"/>
        <v>9</v>
      </c>
      <c r="S107" s="633">
        <f t="shared" si="63"/>
        <v>17</v>
      </c>
      <c r="T107" s="633">
        <f t="shared" si="63"/>
        <v>17</v>
      </c>
      <c r="U107" s="634">
        <f t="shared" si="63"/>
        <v>18</v>
      </c>
      <c r="V107" s="715">
        <f t="shared" si="63"/>
        <v>17</v>
      </c>
      <c r="W107" s="635">
        <f t="shared" si="63"/>
        <v>10</v>
      </c>
      <c r="X107" s="631">
        <f t="shared" si="63"/>
        <v>12</v>
      </c>
      <c r="Y107" s="631">
        <f t="shared" si="63"/>
        <v>14</v>
      </c>
      <c r="Z107" s="631">
        <f t="shared" ref="Z107:AD107" si="64">+Z104+Z105+Z106</f>
        <v>15</v>
      </c>
      <c r="AA107" s="631">
        <f t="shared" si="64"/>
        <v>14</v>
      </c>
      <c r="AB107" s="631">
        <f t="shared" si="64"/>
        <v>12</v>
      </c>
      <c r="AC107" s="631">
        <f t="shared" si="64"/>
        <v>15</v>
      </c>
      <c r="AD107" s="631">
        <f t="shared" si="64"/>
        <v>18</v>
      </c>
      <c r="AE107" s="631">
        <f t="shared" si="63"/>
        <v>9</v>
      </c>
      <c r="AF107" s="632">
        <f t="shared" si="63"/>
        <v>14</v>
      </c>
      <c r="AG107" s="777" t="str">
        <f t="shared" si="59"/>
        <v xml:space="preserve"> </v>
      </c>
      <c r="AH107" s="631" t="str">
        <f t="shared" si="60"/>
        <v xml:space="preserve"> </v>
      </c>
      <c r="AI107" s="631" t="str">
        <f t="shared" si="61"/>
        <v xml:space="preserve"> </v>
      </c>
      <c r="AJ107" s="631">
        <f t="shared" si="62"/>
        <v>13.666666666666666</v>
      </c>
      <c r="AK107" s="86"/>
      <c r="AL107" s="86"/>
      <c r="AM107" s="91"/>
      <c r="AN107" s="91"/>
      <c r="AO107" s="91"/>
      <c r="AP107" s="91"/>
      <c r="AQ107" s="91"/>
      <c r="AR107" s="91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9"/>
      <c r="BW107" s="29"/>
      <c r="BX107" s="29"/>
      <c r="BY107" s="29"/>
      <c r="BZ107" s="29"/>
      <c r="CA107" s="29"/>
      <c r="CB107" s="29"/>
      <c r="CC107" s="29"/>
      <c r="CD107" s="29"/>
      <c r="CE107" s="29"/>
      <c r="CF107" s="29"/>
      <c r="CG107" s="29"/>
      <c r="CH107" s="29"/>
      <c r="CI107" s="29"/>
      <c r="CJ107" s="29"/>
      <c r="CK107" s="29"/>
      <c r="CL107" s="29"/>
      <c r="CM107" s="29"/>
      <c r="CN107" s="29"/>
      <c r="CO107" s="29"/>
      <c r="CP107" s="29"/>
      <c r="CQ107" s="29"/>
      <c r="CR107" s="29"/>
      <c r="CS107" s="29"/>
      <c r="CT107" s="29"/>
      <c r="CU107" s="29"/>
      <c r="CV107" s="29"/>
      <c r="CW107" s="29"/>
      <c r="CX107" s="29"/>
      <c r="CY107" s="29"/>
      <c r="CZ107" s="29"/>
      <c r="DA107" s="29"/>
      <c r="DB107" s="29"/>
      <c r="DC107" s="29"/>
      <c r="DD107" s="29"/>
      <c r="DE107" s="29"/>
      <c r="DF107" s="29"/>
      <c r="DG107" s="29"/>
      <c r="DH107" s="29"/>
      <c r="DI107" s="29"/>
      <c r="DJ107" s="29"/>
      <c r="DK107" s="29"/>
      <c r="DL107" s="29"/>
      <c r="DM107" s="29"/>
      <c r="DN107" s="29"/>
      <c r="DO107" s="29"/>
      <c r="DP107" s="29"/>
      <c r="DQ107" s="29"/>
      <c r="DR107" s="29"/>
      <c r="DS107" s="29"/>
      <c r="DT107" s="29"/>
      <c r="DU107" s="29"/>
      <c r="DV107" s="29"/>
      <c r="DW107" s="29"/>
      <c r="DX107" s="29"/>
      <c r="DY107" s="29"/>
      <c r="DZ107" s="29"/>
      <c r="EA107" s="29"/>
      <c r="EB107" s="29"/>
      <c r="EC107" s="29"/>
      <c r="ED107" s="29"/>
      <c r="EE107" s="29"/>
      <c r="EF107" s="29"/>
      <c r="EG107" s="29"/>
      <c r="EH107" s="29"/>
      <c r="EI107" s="29"/>
      <c r="EJ107" s="29"/>
      <c r="EK107" s="29"/>
      <c r="EL107" s="29"/>
      <c r="EM107" s="29"/>
      <c r="EN107" s="29"/>
      <c r="EO107" s="29"/>
      <c r="EP107" s="29"/>
      <c r="EQ107" s="29"/>
      <c r="ER107" s="29"/>
      <c r="ES107" s="29"/>
      <c r="ET107" s="29"/>
      <c r="EU107" s="29"/>
      <c r="EV107" s="29"/>
      <c r="EW107" s="29"/>
      <c r="EX107" s="29"/>
      <c r="EY107" s="29"/>
      <c r="EZ107" s="29"/>
      <c r="FA107" s="29"/>
      <c r="FB107" s="29"/>
      <c r="FC107" s="29"/>
      <c r="FD107" s="29"/>
      <c r="FE107" s="29"/>
      <c r="FF107" s="29"/>
      <c r="FG107" s="29"/>
      <c r="FH107" s="29"/>
      <c r="FI107" s="29"/>
      <c r="FJ107" s="29"/>
      <c r="FK107" s="29"/>
      <c r="FL107" s="29"/>
      <c r="FM107" s="29"/>
      <c r="FN107" s="29"/>
      <c r="FO107" s="29"/>
    </row>
    <row r="108" spans="1:179" s="465" customFormat="1" ht="13.2" thickTop="1" thickBot="1" x14ac:dyDescent="0.3">
      <c r="A108" s="369" t="s">
        <v>76</v>
      </c>
      <c r="B108" s="459"/>
      <c r="C108" s="459"/>
      <c r="D108" s="460"/>
      <c r="E108" s="460"/>
      <c r="F108" s="459"/>
      <c r="G108" s="459"/>
      <c r="H108" s="459"/>
      <c r="I108" s="459"/>
      <c r="J108" s="459"/>
      <c r="K108" s="459"/>
      <c r="L108" s="459"/>
      <c r="M108" s="459"/>
      <c r="N108" s="459"/>
      <c r="O108" s="459"/>
      <c r="P108" s="461"/>
      <c r="Q108" s="461"/>
      <c r="R108" s="461"/>
      <c r="S108" s="461"/>
      <c r="T108" s="461"/>
      <c r="U108" s="461"/>
      <c r="V108" s="461"/>
      <c r="W108" s="461"/>
      <c r="X108" s="461"/>
      <c r="Y108" s="461"/>
      <c r="Z108" s="461"/>
      <c r="AA108" s="461"/>
      <c r="AB108" s="461"/>
      <c r="AC108" s="461"/>
      <c r="AD108" s="27"/>
      <c r="AE108" s="27"/>
      <c r="AF108" s="27"/>
      <c r="AG108" s="28"/>
      <c r="AH108" s="28"/>
      <c r="AI108" s="28"/>
      <c r="AJ108" s="462"/>
      <c r="AK108" s="463"/>
      <c r="AL108" s="463"/>
      <c r="AM108" s="464"/>
      <c r="AN108" s="464"/>
      <c r="AO108" s="464"/>
      <c r="AP108" s="464"/>
      <c r="AQ108" s="464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29"/>
      <c r="CA108" s="29"/>
      <c r="CB108" s="29"/>
      <c r="CC108" s="29"/>
      <c r="CD108" s="29"/>
      <c r="CE108" s="29"/>
      <c r="CF108" s="29"/>
      <c r="CG108" s="29"/>
      <c r="CH108" s="29"/>
      <c r="CI108" s="29"/>
      <c r="CJ108" s="29"/>
      <c r="CK108" s="29"/>
      <c r="CL108" s="29"/>
      <c r="CM108" s="29"/>
      <c r="CN108" s="29"/>
      <c r="CO108" s="29"/>
      <c r="CP108" s="29"/>
      <c r="CQ108" s="29"/>
      <c r="CR108" s="29"/>
      <c r="CS108" s="29"/>
      <c r="CT108" s="29"/>
      <c r="CU108" s="29"/>
      <c r="CV108" s="29"/>
      <c r="CW108" s="29"/>
      <c r="CX108" s="29"/>
      <c r="CY108" s="29"/>
      <c r="CZ108" s="29"/>
      <c r="DA108" s="29"/>
      <c r="DB108" s="29"/>
      <c r="DC108" s="29"/>
      <c r="DD108" s="29"/>
      <c r="DE108" s="29"/>
      <c r="DF108" s="29"/>
      <c r="DG108" s="29"/>
      <c r="DH108" s="29"/>
      <c r="DI108" s="29"/>
      <c r="DJ108" s="29"/>
      <c r="DK108" s="29"/>
      <c r="DL108" s="29"/>
      <c r="DM108" s="29"/>
      <c r="DN108" s="29"/>
      <c r="DO108" s="29"/>
      <c r="DP108" s="29"/>
      <c r="DQ108" s="29"/>
      <c r="DR108" s="29"/>
      <c r="DS108" s="29"/>
      <c r="DT108" s="29"/>
      <c r="DU108" s="29"/>
      <c r="DV108" s="29"/>
      <c r="DW108" s="29"/>
      <c r="DX108" s="29"/>
      <c r="DY108" s="29"/>
      <c r="DZ108" s="29"/>
      <c r="EA108" s="29"/>
      <c r="EB108" s="29"/>
      <c r="EC108" s="29"/>
      <c r="ED108" s="29"/>
      <c r="EE108" s="29"/>
      <c r="EF108" s="29"/>
      <c r="EG108" s="29"/>
      <c r="EH108" s="29"/>
      <c r="EI108" s="29"/>
      <c r="EJ108" s="29"/>
      <c r="EK108" s="29"/>
      <c r="EL108" s="29"/>
      <c r="EM108" s="29"/>
      <c r="EN108" s="29"/>
      <c r="EO108" s="29"/>
      <c r="EP108" s="29"/>
      <c r="EQ108" s="29"/>
      <c r="ER108" s="29"/>
      <c r="ES108" s="29"/>
      <c r="ET108" s="29"/>
      <c r="EU108" s="29"/>
      <c r="EV108" s="29"/>
      <c r="EW108" s="29"/>
      <c r="EX108" s="29"/>
      <c r="EY108" s="29"/>
      <c r="EZ108" s="29"/>
      <c r="FA108" s="29"/>
      <c r="FB108" s="29"/>
      <c r="FC108" s="29"/>
      <c r="FD108" s="29"/>
      <c r="FE108" s="29"/>
      <c r="FF108" s="29"/>
      <c r="FG108" s="29"/>
      <c r="FH108" s="29"/>
      <c r="FI108" s="29"/>
      <c r="FJ108" s="29"/>
      <c r="FK108" s="29"/>
      <c r="FL108" s="29"/>
      <c r="FM108" s="29"/>
      <c r="FN108" s="29"/>
      <c r="FO108" s="29"/>
      <c r="FP108" s="29"/>
      <c r="FQ108" s="29"/>
      <c r="FR108" s="29"/>
      <c r="FS108" s="29"/>
      <c r="FT108" s="29"/>
    </row>
    <row r="109" spans="1:179" s="465" customFormat="1" ht="13.2" thickTop="1" thickBot="1" x14ac:dyDescent="0.3">
      <c r="A109" s="350" t="s">
        <v>138</v>
      </c>
      <c r="B109" s="466"/>
      <c r="C109" s="466"/>
      <c r="D109" s="467"/>
      <c r="E109" s="467"/>
      <c r="F109" s="466"/>
      <c r="G109" s="466"/>
      <c r="H109" s="466"/>
      <c r="I109" s="466"/>
      <c r="J109" s="466"/>
      <c r="K109" s="466"/>
      <c r="L109" s="466"/>
      <c r="M109" s="466"/>
      <c r="N109" s="466"/>
      <c r="O109" s="466"/>
      <c r="P109" s="468"/>
      <c r="Q109" s="468"/>
      <c r="R109" s="468"/>
      <c r="S109" s="468"/>
      <c r="T109" s="468"/>
      <c r="U109" s="528"/>
      <c r="V109" s="716"/>
      <c r="W109" s="602"/>
      <c r="X109" s="602"/>
      <c r="Y109" s="601"/>
      <c r="Z109" s="486">
        <v>10</v>
      </c>
      <c r="AA109" s="486">
        <v>17</v>
      </c>
      <c r="AB109" s="486">
        <v>4</v>
      </c>
      <c r="AC109" s="486">
        <v>12</v>
      </c>
      <c r="AD109" s="486">
        <v>16</v>
      </c>
      <c r="AE109" s="486">
        <v>13</v>
      </c>
      <c r="AF109" s="742">
        <v>10</v>
      </c>
      <c r="AG109" s="761" t="str">
        <f t="shared" ref="AG109:AG111" si="65">IF(AF109=0," ",IF(AJ109&gt;20,(AF109-AE109)/AE109," "))</f>
        <v xml:space="preserve"> </v>
      </c>
      <c r="AH109" s="305" t="str">
        <f t="shared" ref="AH109:AH111" si="66">IF(AF109=0," ",IF(AJ109&gt;20,(AF109-AA109)/AA109," "))</f>
        <v xml:space="preserve"> </v>
      </c>
      <c r="AI109" s="306" t="str">
        <f t="shared" ref="AI109:AI111" si="67">IF(AF109=0," ",(IF(AJ109&gt;20,(AF109-V109)/V109," ")))</f>
        <v xml:space="preserve"> </v>
      </c>
      <c r="AJ109" s="223">
        <f t="shared" ref="AJ109:AJ111" si="68">IF(AD109&gt;0,AVERAGE(AD109:AF109),"  ")</f>
        <v>13</v>
      </c>
      <c r="AK109" s="463"/>
      <c r="AL109" s="463"/>
      <c r="AM109" s="464"/>
      <c r="AN109" s="464"/>
      <c r="AO109" s="464"/>
      <c r="AP109" s="464"/>
      <c r="AQ109" s="464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29"/>
      <c r="BZ109" s="29"/>
      <c r="CA109" s="29"/>
      <c r="CB109" s="29"/>
      <c r="CC109" s="29"/>
      <c r="CD109" s="29"/>
      <c r="CE109" s="29"/>
      <c r="CF109" s="29"/>
      <c r="CG109" s="29"/>
      <c r="CH109" s="29"/>
      <c r="CI109" s="29"/>
      <c r="CJ109" s="29"/>
      <c r="CK109" s="29"/>
      <c r="CL109" s="29"/>
      <c r="CM109" s="29"/>
      <c r="CN109" s="29"/>
      <c r="CO109" s="29"/>
      <c r="CP109" s="29"/>
      <c r="CQ109" s="29"/>
      <c r="CR109" s="29"/>
      <c r="CS109" s="29"/>
      <c r="CT109" s="29"/>
      <c r="CU109" s="29"/>
      <c r="CV109" s="29"/>
      <c r="CW109" s="29"/>
      <c r="CX109" s="29"/>
      <c r="CY109" s="29"/>
      <c r="CZ109" s="29"/>
      <c r="DA109" s="29"/>
      <c r="DB109" s="29"/>
      <c r="DC109" s="29"/>
      <c r="DD109" s="29"/>
      <c r="DE109" s="29"/>
      <c r="DF109" s="29"/>
      <c r="DG109" s="29"/>
      <c r="DH109" s="29"/>
      <c r="DI109" s="29"/>
      <c r="DJ109" s="29"/>
      <c r="DK109" s="29"/>
      <c r="DL109" s="29"/>
      <c r="DM109" s="29"/>
      <c r="DN109" s="29"/>
      <c r="DO109" s="29"/>
      <c r="DP109" s="29"/>
      <c r="DQ109" s="29"/>
      <c r="DR109" s="29"/>
      <c r="DS109" s="29"/>
      <c r="DT109" s="29"/>
      <c r="DU109" s="29"/>
      <c r="DV109" s="29"/>
      <c r="DW109" s="29"/>
      <c r="DX109" s="29"/>
      <c r="DY109" s="29"/>
      <c r="DZ109" s="29"/>
      <c r="EA109" s="29"/>
      <c r="EB109" s="29"/>
      <c r="EC109" s="29"/>
      <c r="ED109" s="29"/>
      <c r="EE109" s="29"/>
      <c r="EF109" s="29"/>
      <c r="EG109" s="29"/>
      <c r="EH109" s="29"/>
      <c r="EI109" s="29"/>
      <c r="EJ109" s="29"/>
      <c r="EK109" s="29"/>
      <c r="EL109" s="29"/>
      <c r="EM109" s="29"/>
      <c r="EN109" s="29"/>
      <c r="EO109" s="29"/>
      <c r="EP109" s="29"/>
      <c r="EQ109" s="29"/>
      <c r="ER109" s="29"/>
      <c r="ES109" s="29"/>
      <c r="ET109" s="29"/>
      <c r="EU109" s="29"/>
      <c r="EV109" s="29"/>
      <c r="EW109" s="29"/>
      <c r="EX109" s="29"/>
      <c r="EY109" s="29"/>
      <c r="EZ109" s="29"/>
      <c r="FA109" s="29"/>
      <c r="FB109" s="29"/>
      <c r="FC109" s="29"/>
      <c r="FD109" s="29"/>
      <c r="FE109" s="29"/>
      <c r="FF109" s="29"/>
      <c r="FG109" s="29"/>
      <c r="FH109" s="29"/>
      <c r="FI109" s="29"/>
      <c r="FJ109" s="29"/>
      <c r="FK109" s="29"/>
      <c r="FL109" s="29"/>
      <c r="FM109" s="29"/>
      <c r="FN109" s="29"/>
      <c r="FO109" s="29"/>
      <c r="FP109" s="29"/>
      <c r="FQ109" s="29"/>
      <c r="FR109" s="29"/>
      <c r="FS109" s="29"/>
      <c r="FT109" s="29"/>
    </row>
    <row r="110" spans="1:179" s="465" customFormat="1" ht="12.6" thickTop="1" x14ac:dyDescent="0.25">
      <c r="A110" s="350" t="s">
        <v>139</v>
      </c>
      <c r="B110" s="466"/>
      <c r="C110" s="466"/>
      <c r="D110" s="467"/>
      <c r="E110" s="467"/>
      <c r="F110" s="466"/>
      <c r="G110" s="466"/>
      <c r="H110" s="466"/>
      <c r="I110" s="466"/>
      <c r="J110" s="466"/>
      <c r="K110" s="466"/>
      <c r="L110" s="466"/>
      <c r="M110" s="466"/>
      <c r="N110" s="466"/>
      <c r="O110" s="466"/>
      <c r="P110" s="468"/>
      <c r="Q110" s="468"/>
      <c r="R110" s="468"/>
      <c r="S110" s="468"/>
      <c r="T110" s="468"/>
      <c r="U110" s="652">
        <v>27</v>
      </c>
      <c r="V110" s="717">
        <v>30</v>
      </c>
      <c r="W110" s="653">
        <v>27</v>
      </c>
      <c r="X110" s="654">
        <v>40</v>
      </c>
      <c r="Y110" s="654">
        <v>36</v>
      </c>
      <c r="Z110" s="4">
        <v>28</v>
      </c>
      <c r="AA110" s="4">
        <v>14</v>
      </c>
      <c r="AB110" s="4">
        <v>28</v>
      </c>
      <c r="AC110" s="4">
        <v>20</v>
      </c>
      <c r="AD110" s="4">
        <v>19</v>
      </c>
      <c r="AE110" s="4">
        <v>22</v>
      </c>
      <c r="AF110" s="747">
        <v>27</v>
      </c>
      <c r="AG110" s="772">
        <f t="shared" si="65"/>
        <v>0.22727272727272727</v>
      </c>
      <c r="AH110" s="173">
        <f t="shared" si="66"/>
        <v>0.9285714285714286</v>
      </c>
      <c r="AI110" s="174"/>
      <c r="AJ110" s="120">
        <f t="shared" si="68"/>
        <v>22.666666666666668</v>
      </c>
      <c r="AK110" s="463"/>
      <c r="AL110" s="463"/>
      <c r="AM110" s="464"/>
      <c r="AN110" s="464"/>
      <c r="AO110" s="464"/>
      <c r="AP110" s="464"/>
      <c r="AQ110" s="464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29"/>
      <c r="BZ110" s="29"/>
      <c r="CA110" s="29"/>
      <c r="CB110" s="29"/>
      <c r="CC110" s="29"/>
      <c r="CD110" s="29"/>
      <c r="CE110" s="29"/>
      <c r="CF110" s="29"/>
      <c r="CG110" s="29"/>
      <c r="CH110" s="29"/>
      <c r="CI110" s="29"/>
      <c r="CJ110" s="29"/>
      <c r="CK110" s="29"/>
      <c r="CL110" s="29"/>
      <c r="CM110" s="29"/>
      <c r="CN110" s="29"/>
      <c r="CO110" s="29"/>
      <c r="CP110" s="29"/>
      <c r="CQ110" s="29"/>
      <c r="CR110" s="29"/>
      <c r="CS110" s="29"/>
      <c r="CT110" s="29"/>
      <c r="CU110" s="29"/>
      <c r="CV110" s="29"/>
      <c r="CW110" s="29"/>
      <c r="CX110" s="29"/>
      <c r="CY110" s="29"/>
      <c r="CZ110" s="29"/>
      <c r="DA110" s="29"/>
      <c r="DB110" s="29"/>
      <c r="DC110" s="29"/>
      <c r="DD110" s="29"/>
      <c r="DE110" s="29"/>
      <c r="DF110" s="29"/>
      <c r="DG110" s="29"/>
      <c r="DH110" s="29"/>
      <c r="DI110" s="29"/>
      <c r="DJ110" s="29"/>
      <c r="DK110" s="29"/>
      <c r="DL110" s="29"/>
      <c r="DM110" s="29"/>
      <c r="DN110" s="29"/>
      <c r="DO110" s="29"/>
      <c r="DP110" s="29"/>
      <c r="DQ110" s="29"/>
      <c r="DR110" s="29"/>
      <c r="DS110" s="29"/>
      <c r="DT110" s="29"/>
      <c r="DU110" s="29"/>
      <c r="DV110" s="29"/>
      <c r="DW110" s="29"/>
      <c r="DX110" s="29"/>
      <c r="DY110" s="29"/>
      <c r="DZ110" s="29"/>
      <c r="EA110" s="29"/>
      <c r="EB110" s="29"/>
      <c r="EC110" s="29"/>
      <c r="ED110" s="29"/>
      <c r="EE110" s="29"/>
      <c r="EF110" s="29"/>
      <c r="EG110" s="29"/>
      <c r="EH110" s="29"/>
      <c r="EI110" s="29"/>
      <c r="EJ110" s="29"/>
      <c r="EK110" s="29"/>
      <c r="EL110" s="29"/>
      <c r="EM110" s="29"/>
      <c r="EN110" s="29"/>
      <c r="EO110" s="29"/>
      <c r="EP110" s="29"/>
      <c r="EQ110" s="29"/>
      <c r="ER110" s="29"/>
      <c r="ES110" s="29"/>
      <c r="ET110" s="29"/>
      <c r="EU110" s="29"/>
      <c r="EV110" s="29"/>
      <c r="EW110" s="29"/>
      <c r="EX110" s="29"/>
      <c r="EY110" s="29"/>
      <c r="EZ110" s="29"/>
      <c r="FA110" s="29"/>
      <c r="FB110" s="29"/>
      <c r="FC110" s="29"/>
      <c r="FD110" s="29"/>
      <c r="FE110" s="29"/>
      <c r="FF110" s="29"/>
      <c r="FG110" s="29"/>
      <c r="FH110" s="29"/>
      <c r="FI110" s="29"/>
      <c r="FJ110" s="29"/>
      <c r="FK110" s="29"/>
      <c r="FL110" s="29"/>
      <c r="FM110" s="29"/>
      <c r="FN110" s="29"/>
      <c r="FO110" s="29"/>
      <c r="FP110" s="29"/>
      <c r="FQ110" s="29"/>
      <c r="FR110" s="29"/>
      <c r="FS110" s="29"/>
      <c r="FT110" s="29"/>
    </row>
    <row r="111" spans="1:179" ht="12.6" thickBot="1" x14ac:dyDescent="0.3">
      <c r="A111" s="662" t="s">
        <v>88</v>
      </c>
      <c r="B111" s="663">
        <v>30</v>
      </c>
      <c r="C111" s="663">
        <v>32</v>
      </c>
      <c r="D111" s="664">
        <v>35</v>
      </c>
      <c r="E111" s="664">
        <v>37</v>
      </c>
      <c r="F111" s="663">
        <v>38</v>
      </c>
      <c r="G111" s="663">
        <v>28</v>
      </c>
      <c r="H111" s="663">
        <v>35</v>
      </c>
      <c r="I111" s="663">
        <v>39</v>
      </c>
      <c r="J111" s="663">
        <v>46</v>
      </c>
      <c r="K111" s="663">
        <v>51</v>
      </c>
      <c r="L111" s="663">
        <v>37</v>
      </c>
      <c r="M111" s="663">
        <v>39</v>
      </c>
      <c r="N111" s="663">
        <v>38</v>
      </c>
      <c r="O111" s="665">
        <v>49</v>
      </c>
      <c r="P111" s="665">
        <v>41</v>
      </c>
      <c r="Q111" s="666">
        <v>32</v>
      </c>
      <c r="R111" s="666">
        <v>37</v>
      </c>
      <c r="S111" s="666">
        <v>21</v>
      </c>
      <c r="T111" s="666">
        <v>26</v>
      </c>
      <c r="U111" s="667">
        <f>U110</f>
        <v>27</v>
      </c>
      <c r="V111" s="718">
        <v>30</v>
      </c>
      <c r="W111" s="668">
        <v>27</v>
      </c>
      <c r="X111" s="663">
        <v>40</v>
      </c>
      <c r="Y111" s="663">
        <v>36</v>
      </c>
      <c r="Z111" s="669">
        <f>Z109+Z110</f>
        <v>38</v>
      </c>
      <c r="AA111" s="669">
        <f t="shared" ref="AA111:AD111" si="69">AA110+AA109</f>
        <v>31</v>
      </c>
      <c r="AB111" s="669">
        <f t="shared" si="69"/>
        <v>32</v>
      </c>
      <c r="AC111" s="669">
        <f>AC110+AC109</f>
        <v>32</v>
      </c>
      <c r="AD111" s="669">
        <f t="shared" si="69"/>
        <v>35</v>
      </c>
      <c r="AE111" s="669">
        <f>AE109+AE110</f>
        <v>35</v>
      </c>
      <c r="AF111" s="748">
        <f>AF109+AF110</f>
        <v>37</v>
      </c>
      <c r="AG111" s="778">
        <f t="shared" si="65"/>
        <v>5.7142857142857141E-2</v>
      </c>
      <c r="AH111" s="670">
        <f t="shared" si="66"/>
        <v>0.19354838709677419</v>
      </c>
      <c r="AI111" s="670">
        <f t="shared" si="67"/>
        <v>0.23333333333333334</v>
      </c>
      <c r="AJ111" s="669">
        <f t="shared" si="68"/>
        <v>35.666666666666664</v>
      </c>
      <c r="AK111" s="86"/>
      <c r="AL111" s="86"/>
      <c r="AM111" s="91"/>
      <c r="AN111" s="91"/>
      <c r="AO111" s="91"/>
      <c r="AP111" s="91"/>
      <c r="AQ111" s="91"/>
      <c r="AR111" s="91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9"/>
      <c r="BW111" s="29"/>
      <c r="BX111" s="29"/>
      <c r="BY111" s="29"/>
      <c r="BZ111" s="29"/>
      <c r="CA111" s="29"/>
      <c r="CB111" s="29"/>
      <c r="CC111" s="29"/>
      <c r="CD111" s="29"/>
      <c r="CE111" s="29"/>
      <c r="CF111" s="29"/>
      <c r="CG111" s="29"/>
      <c r="CH111" s="29"/>
      <c r="CI111" s="29"/>
      <c r="CJ111" s="29"/>
      <c r="CK111" s="29"/>
      <c r="CL111" s="29"/>
      <c r="CM111" s="29"/>
      <c r="CN111" s="29"/>
      <c r="CO111" s="29"/>
      <c r="CP111" s="29"/>
      <c r="CQ111" s="29"/>
      <c r="CR111" s="29"/>
      <c r="CS111" s="29"/>
      <c r="CT111" s="29"/>
      <c r="CU111" s="29"/>
      <c r="CV111" s="29"/>
      <c r="CW111" s="29"/>
      <c r="CX111" s="29"/>
      <c r="CY111" s="29"/>
      <c r="CZ111" s="29"/>
      <c r="DA111" s="29"/>
      <c r="DB111" s="29"/>
      <c r="DC111" s="29"/>
      <c r="DD111" s="29"/>
      <c r="DE111" s="29"/>
      <c r="DF111" s="29"/>
      <c r="DG111" s="29"/>
      <c r="DH111" s="29"/>
      <c r="DI111" s="29"/>
      <c r="DJ111" s="29"/>
      <c r="DK111" s="29"/>
      <c r="DL111" s="29"/>
      <c r="DM111" s="29"/>
      <c r="DN111" s="29"/>
      <c r="DO111" s="29"/>
      <c r="DP111" s="29"/>
      <c r="DQ111" s="29"/>
      <c r="DR111" s="29"/>
      <c r="DS111" s="29"/>
      <c r="DT111" s="29"/>
      <c r="DU111" s="29"/>
      <c r="DV111" s="29"/>
      <c r="DW111" s="29"/>
      <c r="DX111" s="29"/>
      <c r="DY111" s="29"/>
      <c r="DZ111" s="29"/>
      <c r="EA111" s="29"/>
      <c r="EB111" s="29"/>
      <c r="EC111" s="29"/>
      <c r="ED111" s="29"/>
      <c r="EE111" s="29"/>
      <c r="EF111" s="29"/>
      <c r="EG111" s="29"/>
      <c r="EH111" s="29"/>
      <c r="EI111" s="29"/>
      <c r="EJ111" s="29"/>
      <c r="EK111" s="29"/>
      <c r="EL111" s="29"/>
      <c r="EM111" s="29"/>
      <c r="EN111" s="29"/>
      <c r="EO111" s="29"/>
      <c r="EP111" s="29"/>
      <c r="EQ111" s="29"/>
      <c r="ER111" s="29"/>
      <c r="ES111" s="29"/>
      <c r="ET111" s="29"/>
      <c r="EU111" s="29"/>
      <c r="EV111" s="29"/>
      <c r="EW111" s="29"/>
      <c r="EX111" s="29"/>
      <c r="EY111" s="29"/>
      <c r="EZ111" s="29"/>
      <c r="FA111" s="29"/>
      <c r="FB111" s="29"/>
      <c r="FC111" s="29"/>
      <c r="FD111" s="29"/>
      <c r="FE111" s="29"/>
      <c r="FF111" s="29"/>
      <c r="FG111" s="29"/>
      <c r="FH111" s="29"/>
      <c r="FI111" s="29"/>
      <c r="FJ111" s="29"/>
      <c r="FK111" s="29"/>
      <c r="FL111" s="29"/>
      <c r="FM111" s="29"/>
      <c r="FN111" s="29"/>
      <c r="FO111" s="29"/>
    </row>
    <row r="112" spans="1:179" ht="12.6" thickTop="1" x14ac:dyDescent="0.25">
      <c r="A112" s="394" t="s">
        <v>78</v>
      </c>
      <c r="B112" s="131"/>
      <c r="C112" s="131"/>
      <c r="D112" s="132"/>
      <c r="E112" s="132"/>
      <c r="F112" s="131"/>
      <c r="G112" s="133"/>
      <c r="H112" s="133"/>
      <c r="I112" s="133"/>
      <c r="J112" s="131"/>
      <c r="K112" s="131"/>
      <c r="L112" s="131"/>
      <c r="M112" s="131"/>
      <c r="N112" s="131"/>
      <c r="O112" s="131"/>
      <c r="P112" s="134"/>
      <c r="Q112" s="134"/>
      <c r="R112" s="134"/>
      <c r="S112" s="134"/>
      <c r="T112" s="134"/>
      <c r="U112" s="134"/>
      <c r="V112" s="603"/>
      <c r="W112" s="603"/>
      <c r="X112" s="603"/>
      <c r="Y112" s="603"/>
      <c r="Z112" s="135"/>
      <c r="AA112" s="135"/>
      <c r="AB112" s="135"/>
      <c r="AC112" s="135"/>
      <c r="AD112" s="135"/>
      <c r="AE112" s="135"/>
      <c r="AF112" s="135"/>
      <c r="AG112" s="230"/>
      <c r="AH112" s="230"/>
      <c r="AI112" s="231"/>
      <c r="AJ112" s="232"/>
      <c r="AK112" s="86"/>
      <c r="AL112" s="86"/>
      <c r="AM112" s="91"/>
      <c r="AN112" s="91"/>
      <c r="AO112" s="91"/>
      <c r="AP112" s="91"/>
      <c r="AQ112" s="91"/>
      <c r="AR112" s="91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9"/>
      <c r="BW112" s="29"/>
      <c r="BX112" s="29"/>
      <c r="BY112" s="29"/>
      <c r="BZ112" s="29"/>
      <c r="CA112" s="29"/>
      <c r="CB112" s="29"/>
      <c r="CC112" s="29"/>
      <c r="CD112" s="29"/>
      <c r="CE112" s="29"/>
      <c r="CF112" s="29"/>
      <c r="CG112" s="29"/>
      <c r="CH112" s="29"/>
      <c r="CI112" s="29"/>
      <c r="CJ112" s="29"/>
      <c r="CK112" s="29"/>
      <c r="CL112" s="29"/>
      <c r="CM112" s="29"/>
      <c r="CN112" s="29"/>
      <c r="CO112" s="29"/>
      <c r="CP112" s="29"/>
      <c r="CQ112" s="29"/>
      <c r="CR112" s="29"/>
      <c r="CS112" s="29"/>
      <c r="CT112" s="29"/>
      <c r="CU112" s="29"/>
      <c r="CV112" s="29"/>
      <c r="CW112" s="29"/>
      <c r="CX112" s="29"/>
      <c r="CY112" s="29"/>
      <c r="CZ112" s="29"/>
      <c r="DA112" s="29"/>
      <c r="DB112" s="29"/>
      <c r="DC112" s="29"/>
      <c r="DD112" s="29"/>
      <c r="DE112" s="29"/>
      <c r="DF112" s="29"/>
      <c r="DG112" s="29"/>
      <c r="DH112" s="29"/>
      <c r="DI112" s="29"/>
      <c r="DJ112" s="29"/>
      <c r="DK112" s="29"/>
      <c r="DL112" s="29"/>
      <c r="DM112" s="29"/>
      <c r="DN112" s="29"/>
      <c r="DO112" s="29"/>
      <c r="DP112" s="29"/>
      <c r="DQ112" s="29"/>
      <c r="DR112" s="29"/>
      <c r="DS112" s="29"/>
      <c r="DT112" s="29"/>
      <c r="DU112" s="29"/>
      <c r="DV112" s="29"/>
      <c r="DW112" s="29"/>
      <c r="DX112" s="29"/>
      <c r="DY112" s="29"/>
      <c r="DZ112" s="29"/>
      <c r="EA112" s="29"/>
      <c r="EB112" s="29"/>
      <c r="EC112" s="29"/>
      <c r="ED112" s="29"/>
      <c r="EE112" s="29"/>
      <c r="EF112" s="29"/>
      <c r="EG112" s="29"/>
      <c r="EH112" s="29"/>
      <c r="EI112" s="29"/>
      <c r="EJ112" s="29"/>
      <c r="EK112" s="29"/>
      <c r="EL112" s="29"/>
      <c r="EM112" s="29"/>
      <c r="EN112" s="29"/>
      <c r="EO112" s="29"/>
      <c r="EP112" s="29"/>
      <c r="EQ112" s="29"/>
      <c r="ER112" s="29"/>
      <c r="ES112" s="29"/>
      <c r="ET112" s="29"/>
      <c r="EU112" s="29"/>
      <c r="EV112" s="29"/>
      <c r="EW112" s="29"/>
      <c r="EX112" s="29"/>
      <c r="EY112" s="29"/>
      <c r="EZ112" s="29"/>
      <c r="FA112" s="29"/>
      <c r="FB112" s="29"/>
      <c r="FC112" s="29"/>
      <c r="FD112" s="29"/>
      <c r="FE112" s="29"/>
      <c r="FF112" s="29"/>
      <c r="FG112" s="29"/>
      <c r="FH112" s="29"/>
      <c r="FI112" s="29"/>
      <c r="FJ112" s="29"/>
      <c r="FK112" s="29"/>
      <c r="FL112" s="29"/>
      <c r="FM112" s="29"/>
      <c r="FN112" s="29"/>
      <c r="FO112" s="29"/>
      <c r="FP112" s="29"/>
      <c r="FQ112" s="29"/>
      <c r="FR112" s="29"/>
      <c r="FS112" s="29"/>
      <c r="FT112" s="29"/>
      <c r="FU112" s="29"/>
      <c r="FV112" s="29"/>
      <c r="FW112" s="29"/>
    </row>
    <row r="113" spans="1:36" ht="12" x14ac:dyDescent="0.25">
      <c r="A113" s="671" t="s">
        <v>176</v>
      </c>
      <c r="B113" s="672"/>
      <c r="C113" s="672"/>
      <c r="D113" s="672"/>
      <c r="E113" s="672"/>
      <c r="F113" s="672"/>
      <c r="G113" s="672"/>
      <c r="H113" s="672"/>
      <c r="I113" s="672"/>
      <c r="J113" s="672"/>
      <c r="K113" s="672"/>
      <c r="L113" s="672"/>
      <c r="M113" s="648"/>
      <c r="N113" s="648"/>
      <c r="O113" s="673"/>
      <c r="P113" s="673"/>
      <c r="Q113" s="298"/>
      <c r="R113" s="298">
        <v>0</v>
      </c>
      <c r="S113" s="298"/>
      <c r="T113" s="298">
        <v>0</v>
      </c>
      <c r="U113" s="528">
        <v>0</v>
      </c>
      <c r="V113" s="719"/>
      <c r="W113" s="598"/>
      <c r="X113" s="598"/>
      <c r="Y113" s="5">
        <v>6</v>
      </c>
      <c r="Z113" s="648">
        <v>0</v>
      </c>
      <c r="AA113" s="648">
        <v>6</v>
      </c>
      <c r="AB113" s="648">
        <v>4</v>
      </c>
      <c r="AC113" s="648">
        <v>4</v>
      </c>
      <c r="AD113" s="648">
        <v>5</v>
      </c>
      <c r="AE113" s="648">
        <v>9</v>
      </c>
      <c r="AF113" s="740">
        <v>5</v>
      </c>
      <c r="AG113" s="761" t="str">
        <f t="shared" ref="AG113:AG121" si="70">IF(AF113=0," ",IF(AJ113&gt;20,(AF113-AE113)/AE113," "))</f>
        <v xml:space="preserve"> </v>
      </c>
      <c r="AH113" s="674" t="str">
        <f t="shared" ref="AH113:AH121" si="71">IF(AF113=0," ",IF(AJ113&gt;20,(AF113-AA113)/AA113," "))</f>
        <v xml:space="preserve"> </v>
      </c>
      <c r="AI113" s="675" t="str">
        <f t="shared" ref="AI113:AI121" si="72">IF(AF113=0," ",(IF(AJ113&gt;20,(AF113-V113)/V113," ")))</f>
        <v xml:space="preserve"> </v>
      </c>
      <c r="AJ113" s="651">
        <f t="shared" ref="AJ113:AJ121" si="73">IF(AD113&gt;0,AVERAGE(AD113:AF113),"  ")</f>
        <v>6.333333333333333</v>
      </c>
    </row>
    <row r="114" spans="1:36" ht="12" x14ac:dyDescent="0.25">
      <c r="A114" s="361" t="s">
        <v>157</v>
      </c>
      <c r="B114" s="71">
        <v>80</v>
      </c>
      <c r="C114" s="118">
        <v>87</v>
      </c>
      <c r="D114" s="71">
        <v>88</v>
      </c>
      <c r="E114" s="71">
        <v>89</v>
      </c>
      <c r="F114" s="71">
        <v>74</v>
      </c>
      <c r="G114" s="71">
        <v>61</v>
      </c>
      <c r="H114" s="5">
        <v>51</v>
      </c>
      <c r="I114" s="5">
        <v>49</v>
      </c>
      <c r="J114" s="72">
        <v>70</v>
      </c>
      <c r="K114" s="71">
        <v>52</v>
      </c>
      <c r="L114" s="71">
        <v>51</v>
      </c>
      <c r="M114" s="71">
        <v>48</v>
      </c>
      <c r="N114" s="5">
        <v>38</v>
      </c>
      <c r="O114" s="239">
        <v>47</v>
      </c>
      <c r="P114" s="239">
        <v>46</v>
      </c>
      <c r="Q114" s="280">
        <v>35</v>
      </c>
      <c r="R114" s="280">
        <v>26</v>
      </c>
      <c r="S114" s="311">
        <v>36</v>
      </c>
      <c r="T114" s="280">
        <v>33</v>
      </c>
      <c r="U114" s="502">
        <v>32</v>
      </c>
      <c r="V114" s="679">
        <v>38</v>
      </c>
      <c r="W114" s="249">
        <v>28</v>
      </c>
      <c r="X114" s="5">
        <v>27</v>
      </c>
      <c r="Y114" s="5">
        <v>36</v>
      </c>
      <c r="Z114" s="72">
        <v>27</v>
      </c>
      <c r="AA114" s="72">
        <v>29</v>
      </c>
      <c r="AB114" s="72">
        <v>25</v>
      </c>
      <c r="AC114" s="72">
        <v>20</v>
      </c>
      <c r="AD114" s="72">
        <v>18</v>
      </c>
      <c r="AE114" s="72">
        <v>24</v>
      </c>
      <c r="AF114" s="80">
        <v>17</v>
      </c>
      <c r="AG114" s="755" t="str">
        <f t="shared" si="70"/>
        <v xml:space="preserve"> </v>
      </c>
      <c r="AH114" s="206" t="str">
        <f t="shared" si="71"/>
        <v xml:space="preserve"> </v>
      </c>
      <c r="AI114" s="207" t="str">
        <f t="shared" si="72"/>
        <v xml:space="preserve"> </v>
      </c>
      <c r="AJ114" s="120">
        <f t="shared" si="73"/>
        <v>19.666666666666668</v>
      </c>
    </row>
    <row r="115" spans="1:36" ht="12" x14ac:dyDescent="0.25">
      <c r="A115" s="396" t="s">
        <v>30</v>
      </c>
      <c r="B115" s="130"/>
      <c r="C115" s="71"/>
      <c r="D115" s="130"/>
      <c r="E115" s="130"/>
      <c r="F115" s="130"/>
      <c r="G115" s="117"/>
      <c r="H115" s="5"/>
      <c r="I115" s="5"/>
      <c r="J115" s="117"/>
      <c r="K115" s="117">
        <v>1</v>
      </c>
      <c r="L115" s="117">
        <v>0</v>
      </c>
      <c r="M115" s="117">
        <v>3</v>
      </c>
      <c r="N115" s="5">
        <v>7</v>
      </c>
      <c r="O115" s="239">
        <v>9</v>
      </c>
      <c r="P115" s="239">
        <v>5</v>
      </c>
      <c r="Q115" s="299">
        <v>12</v>
      </c>
      <c r="R115" s="299">
        <v>7</v>
      </c>
      <c r="S115" s="311">
        <v>11</v>
      </c>
      <c r="T115" s="299">
        <v>12</v>
      </c>
      <c r="U115" s="537">
        <v>7</v>
      </c>
      <c r="V115" s="720">
        <v>4</v>
      </c>
      <c r="W115" s="308">
        <v>3</v>
      </c>
      <c r="X115" s="5">
        <v>8</v>
      </c>
      <c r="Y115" s="5">
        <v>8</v>
      </c>
      <c r="Z115" s="4">
        <v>4</v>
      </c>
      <c r="AA115" s="4">
        <v>7</v>
      </c>
      <c r="AB115" s="4">
        <v>6</v>
      </c>
      <c r="AC115" s="4">
        <v>5</v>
      </c>
      <c r="AD115" s="4">
        <v>4</v>
      </c>
      <c r="AE115" s="4">
        <v>8</v>
      </c>
      <c r="AF115" s="749">
        <v>3</v>
      </c>
      <c r="AG115" s="755" t="str">
        <f t="shared" si="70"/>
        <v xml:space="preserve"> </v>
      </c>
      <c r="AH115" s="206" t="str">
        <f t="shared" si="71"/>
        <v xml:space="preserve"> </v>
      </c>
      <c r="AI115" s="207" t="str">
        <f t="shared" si="72"/>
        <v xml:space="preserve"> </v>
      </c>
      <c r="AJ115" s="120">
        <f t="shared" si="73"/>
        <v>5</v>
      </c>
    </row>
    <row r="116" spans="1:36" ht="12" x14ac:dyDescent="0.25">
      <c r="A116" s="395" t="s">
        <v>89</v>
      </c>
      <c r="B116" s="479"/>
      <c r="C116" s="479"/>
      <c r="D116" s="479"/>
      <c r="E116" s="479">
        <v>6</v>
      </c>
      <c r="F116" s="479">
        <v>21</v>
      </c>
      <c r="G116" s="448">
        <v>9</v>
      </c>
      <c r="H116" s="7">
        <v>11</v>
      </c>
      <c r="I116" s="7">
        <v>13</v>
      </c>
      <c r="J116" s="448">
        <v>13</v>
      </c>
      <c r="K116" s="448">
        <v>15</v>
      </c>
      <c r="L116" s="448">
        <v>11</v>
      </c>
      <c r="M116" s="448">
        <v>15</v>
      </c>
      <c r="N116" s="7">
        <v>2</v>
      </c>
      <c r="O116" s="240">
        <v>12</v>
      </c>
      <c r="P116" s="240">
        <v>12</v>
      </c>
      <c r="Q116" s="300">
        <v>13</v>
      </c>
      <c r="R116" s="300">
        <v>12</v>
      </c>
      <c r="S116" s="312">
        <v>13</v>
      </c>
      <c r="T116" s="300">
        <v>17</v>
      </c>
      <c r="U116" s="540">
        <v>9</v>
      </c>
      <c r="V116" s="709">
        <v>14</v>
      </c>
      <c r="W116" s="309">
        <v>6</v>
      </c>
      <c r="X116" s="7">
        <v>7</v>
      </c>
      <c r="Y116" s="7">
        <v>6</v>
      </c>
      <c r="Z116" s="8">
        <v>5</v>
      </c>
      <c r="AA116" s="8">
        <v>4</v>
      </c>
      <c r="AB116" s="8">
        <v>4</v>
      </c>
      <c r="AC116" s="8">
        <v>1</v>
      </c>
      <c r="AD116" s="8">
        <v>6</v>
      </c>
      <c r="AE116" s="8">
        <v>2</v>
      </c>
      <c r="AF116" s="746">
        <v>6</v>
      </c>
      <c r="AG116" s="757" t="str">
        <f t="shared" si="70"/>
        <v xml:space="preserve"> </v>
      </c>
      <c r="AH116" s="209" t="str">
        <f t="shared" si="71"/>
        <v xml:space="preserve"> </v>
      </c>
      <c r="AI116" s="210" t="str">
        <f t="shared" si="72"/>
        <v xml:space="preserve"> </v>
      </c>
      <c r="AJ116" s="222">
        <f t="shared" si="73"/>
        <v>4.666666666666667</v>
      </c>
    </row>
    <row r="117" spans="1:36" ht="12" x14ac:dyDescent="0.25">
      <c r="A117" s="396" t="s">
        <v>96</v>
      </c>
      <c r="B117" s="117"/>
      <c r="C117" s="147">
        <v>0</v>
      </c>
      <c r="D117" s="117">
        <v>8</v>
      </c>
      <c r="E117" s="117">
        <v>11</v>
      </c>
      <c r="F117" s="117">
        <v>12</v>
      </c>
      <c r="G117" s="117">
        <v>9</v>
      </c>
      <c r="H117" s="5">
        <v>8</v>
      </c>
      <c r="I117" s="5">
        <v>15</v>
      </c>
      <c r="J117" s="117">
        <v>11</v>
      </c>
      <c r="K117" s="117">
        <v>16</v>
      </c>
      <c r="L117" s="117">
        <v>9</v>
      </c>
      <c r="M117" s="117">
        <v>6</v>
      </c>
      <c r="N117" s="5">
        <v>12</v>
      </c>
      <c r="O117" s="239">
        <v>14</v>
      </c>
      <c r="P117" s="239">
        <v>7</v>
      </c>
      <c r="Q117" s="299">
        <v>6</v>
      </c>
      <c r="R117" s="299">
        <v>11</v>
      </c>
      <c r="S117" s="311">
        <v>11</v>
      </c>
      <c r="T117" s="299">
        <v>21</v>
      </c>
      <c r="U117" s="537">
        <v>14</v>
      </c>
      <c r="V117" s="720">
        <v>14</v>
      </c>
      <c r="W117" s="308">
        <v>10</v>
      </c>
      <c r="X117" s="5">
        <v>13</v>
      </c>
      <c r="Y117" s="5">
        <v>11</v>
      </c>
      <c r="Z117" s="4">
        <v>8</v>
      </c>
      <c r="AA117" s="4">
        <v>13</v>
      </c>
      <c r="AB117" s="4">
        <v>17</v>
      </c>
      <c r="AC117" s="4">
        <v>5</v>
      </c>
      <c r="AD117" s="4">
        <v>7</v>
      </c>
      <c r="AE117" s="4">
        <v>12</v>
      </c>
      <c r="AF117" s="749">
        <v>11</v>
      </c>
      <c r="AG117" s="755" t="str">
        <f t="shared" si="70"/>
        <v xml:space="preserve"> </v>
      </c>
      <c r="AH117" s="206" t="str">
        <f t="shared" si="71"/>
        <v xml:space="preserve"> </v>
      </c>
      <c r="AI117" s="207" t="str">
        <f t="shared" si="72"/>
        <v xml:space="preserve"> </v>
      </c>
      <c r="AJ117" s="120">
        <f t="shared" si="73"/>
        <v>10</v>
      </c>
    </row>
    <row r="118" spans="1:36" ht="12" x14ac:dyDescent="0.25">
      <c r="A118" s="396" t="s">
        <v>171</v>
      </c>
      <c r="B118" s="117"/>
      <c r="C118" s="147"/>
      <c r="D118" s="117"/>
      <c r="E118" s="117"/>
      <c r="F118" s="117"/>
      <c r="G118" s="117"/>
      <c r="H118" s="5"/>
      <c r="I118" s="5"/>
      <c r="J118" s="117"/>
      <c r="K118" s="117"/>
      <c r="L118" s="117"/>
      <c r="M118" s="117"/>
      <c r="N118" s="5"/>
      <c r="O118" s="239"/>
      <c r="P118" s="239"/>
      <c r="Q118" s="299"/>
      <c r="R118" s="299">
        <v>0</v>
      </c>
      <c r="S118" s="311">
        <v>0</v>
      </c>
      <c r="T118" s="299">
        <v>0</v>
      </c>
      <c r="U118" s="537">
        <v>0</v>
      </c>
      <c r="V118" s="697"/>
      <c r="W118" s="607"/>
      <c r="X118" s="5">
        <v>0</v>
      </c>
      <c r="Y118" s="5">
        <v>0</v>
      </c>
      <c r="Z118" s="4">
        <v>1</v>
      </c>
      <c r="AA118" s="4">
        <v>2</v>
      </c>
      <c r="AB118" s="4">
        <v>12</v>
      </c>
      <c r="AC118" s="4">
        <v>4</v>
      </c>
      <c r="AD118" s="4">
        <v>3</v>
      </c>
      <c r="AE118" s="4">
        <v>5</v>
      </c>
      <c r="AF118" s="749">
        <v>11</v>
      </c>
      <c r="AG118" s="755" t="str">
        <f t="shared" si="70"/>
        <v xml:space="preserve"> </v>
      </c>
      <c r="AH118" s="206" t="str">
        <f t="shared" si="71"/>
        <v xml:space="preserve"> </v>
      </c>
      <c r="AI118" s="207" t="str">
        <f t="shared" si="72"/>
        <v xml:space="preserve"> </v>
      </c>
      <c r="AJ118" s="120">
        <f t="shared" si="73"/>
        <v>6.333333333333333</v>
      </c>
    </row>
    <row r="119" spans="1:36" ht="12" x14ac:dyDescent="0.25">
      <c r="A119" s="396" t="s">
        <v>172</v>
      </c>
      <c r="B119" s="117"/>
      <c r="C119" s="147"/>
      <c r="D119" s="117"/>
      <c r="E119" s="117"/>
      <c r="F119" s="117"/>
      <c r="G119" s="117"/>
      <c r="H119" s="5"/>
      <c r="I119" s="5"/>
      <c r="J119" s="117"/>
      <c r="K119" s="117"/>
      <c r="L119" s="117"/>
      <c r="M119" s="117"/>
      <c r="N119" s="5"/>
      <c r="O119" s="239"/>
      <c r="P119" s="239"/>
      <c r="Q119" s="299"/>
      <c r="R119" s="299">
        <v>0</v>
      </c>
      <c r="S119" s="311">
        <v>0</v>
      </c>
      <c r="T119" s="299">
        <v>0</v>
      </c>
      <c r="U119" s="537">
        <v>0</v>
      </c>
      <c r="V119" s="697"/>
      <c r="W119" s="600"/>
      <c r="X119" s="5">
        <v>0</v>
      </c>
      <c r="Y119" s="5">
        <v>0</v>
      </c>
      <c r="Z119" s="4">
        <v>0</v>
      </c>
      <c r="AA119" s="611"/>
      <c r="AB119" s="611"/>
      <c r="AC119" s="4">
        <v>1</v>
      </c>
      <c r="AD119" s="4">
        <v>0</v>
      </c>
      <c r="AE119" s="4">
        <v>1</v>
      </c>
      <c r="AF119" s="749">
        <v>0</v>
      </c>
      <c r="AG119" s="755" t="str">
        <f t="shared" si="70"/>
        <v xml:space="preserve"> </v>
      </c>
      <c r="AH119" s="206" t="str">
        <f t="shared" si="71"/>
        <v xml:space="preserve"> </v>
      </c>
      <c r="AI119" s="207" t="str">
        <f t="shared" si="72"/>
        <v xml:space="preserve"> </v>
      </c>
      <c r="AJ119" s="120" t="str">
        <f t="shared" si="73"/>
        <v xml:space="preserve">  </v>
      </c>
    </row>
    <row r="120" spans="1:36" ht="12" x14ac:dyDescent="0.25">
      <c r="A120" s="395" t="s">
        <v>173</v>
      </c>
      <c r="B120" s="448"/>
      <c r="C120" s="676"/>
      <c r="D120" s="448"/>
      <c r="E120" s="448"/>
      <c r="F120" s="448"/>
      <c r="G120" s="448"/>
      <c r="H120" s="7"/>
      <c r="I120" s="7"/>
      <c r="J120" s="448"/>
      <c r="K120" s="448"/>
      <c r="L120" s="448"/>
      <c r="M120" s="448"/>
      <c r="N120" s="7"/>
      <c r="O120" s="240"/>
      <c r="P120" s="240"/>
      <c r="Q120" s="300"/>
      <c r="R120" s="300">
        <v>0</v>
      </c>
      <c r="S120" s="312">
        <v>0</v>
      </c>
      <c r="T120" s="300">
        <v>0</v>
      </c>
      <c r="U120" s="540">
        <v>0</v>
      </c>
      <c r="V120" s="696"/>
      <c r="W120" s="598"/>
      <c r="X120" s="7">
        <v>0</v>
      </c>
      <c r="Y120" s="7">
        <v>0</v>
      </c>
      <c r="Z120" s="8">
        <v>0</v>
      </c>
      <c r="AA120" s="597"/>
      <c r="AB120" s="597"/>
      <c r="AC120" s="8">
        <v>1</v>
      </c>
      <c r="AD120" s="8">
        <v>0</v>
      </c>
      <c r="AE120" s="8">
        <v>0</v>
      </c>
      <c r="AF120" s="746">
        <v>0</v>
      </c>
      <c r="AG120" s="757" t="str">
        <f t="shared" si="70"/>
        <v xml:space="preserve"> </v>
      </c>
      <c r="AH120" s="209" t="str">
        <f t="shared" si="71"/>
        <v xml:space="preserve"> </v>
      </c>
      <c r="AI120" s="210" t="str">
        <f t="shared" si="72"/>
        <v xml:space="preserve"> </v>
      </c>
      <c r="AJ120" s="222" t="str">
        <f t="shared" si="73"/>
        <v xml:space="preserve">  </v>
      </c>
    </row>
    <row r="121" spans="1:36" ht="12.6" thickBot="1" x14ac:dyDescent="0.3">
      <c r="A121" s="655" t="s">
        <v>79</v>
      </c>
      <c r="B121" s="656">
        <f>SUM(B113:B120)</f>
        <v>80</v>
      </c>
      <c r="C121" s="656">
        <f t="shared" ref="C121:Z121" si="74">SUM(C113:C120)</f>
        <v>87</v>
      </c>
      <c r="D121" s="656">
        <f t="shared" si="74"/>
        <v>96</v>
      </c>
      <c r="E121" s="656">
        <f t="shared" si="74"/>
        <v>106</v>
      </c>
      <c r="F121" s="656">
        <f t="shared" si="74"/>
        <v>107</v>
      </c>
      <c r="G121" s="656">
        <f t="shared" si="74"/>
        <v>79</v>
      </c>
      <c r="H121" s="656">
        <f t="shared" si="74"/>
        <v>70</v>
      </c>
      <c r="I121" s="656">
        <f t="shared" si="74"/>
        <v>77</v>
      </c>
      <c r="J121" s="656">
        <f t="shared" si="74"/>
        <v>94</v>
      </c>
      <c r="K121" s="656">
        <f t="shared" si="74"/>
        <v>84</v>
      </c>
      <c r="L121" s="656">
        <f t="shared" si="74"/>
        <v>71</v>
      </c>
      <c r="M121" s="656">
        <f t="shared" si="74"/>
        <v>72</v>
      </c>
      <c r="N121" s="656">
        <f t="shared" si="74"/>
        <v>59</v>
      </c>
      <c r="O121" s="656">
        <f t="shared" si="74"/>
        <v>82</v>
      </c>
      <c r="P121" s="657">
        <f t="shared" si="74"/>
        <v>70</v>
      </c>
      <c r="Q121" s="658">
        <f t="shared" si="74"/>
        <v>66</v>
      </c>
      <c r="R121" s="658">
        <f t="shared" si="74"/>
        <v>56</v>
      </c>
      <c r="S121" s="658">
        <f t="shared" si="74"/>
        <v>71</v>
      </c>
      <c r="T121" s="658">
        <f t="shared" si="74"/>
        <v>83</v>
      </c>
      <c r="U121" s="659">
        <f t="shared" si="74"/>
        <v>62</v>
      </c>
      <c r="V121" s="721">
        <f t="shared" si="74"/>
        <v>70</v>
      </c>
      <c r="W121" s="660">
        <f t="shared" si="74"/>
        <v>47</v>
      </c>
      <c r="X121" s="656">
        <f t="shared" si="74"/>
        <v>55</v>
      </c>
      <c r="Y121" s="656">
        <f t="shared" si="74"/>
        <v>67</v>
      </c>
      <c r="Z121" s="656">
        <f t="shared" si="74"/>
        <v>45</v>
      </c>
      <c r="AA121" s="656">
        <f t="shared" ref="AA121:AD121" si="75">SUM(AA113:AA120)</f>
        <v>61</v>
      </c>
      <c r="AB121" s="656">
        <f t="shared" si="75"/>
        <v>68</v>
      </c>
      <c r="AC121" s="656">
        <f t="shared" si="75"/>
        <v>41</v>
      </c>
      <c r="AD121" s="656">
        <f t="shared" si="75"/>
        <v>43</v>
      </c>
      <c r="AE121" s="656">
        <f>SUM(AE113:AE120)</f>
        <v>61</v>
      </c>
      <c r="AF121" s="657">
        <f>SUM(AF113:AF120)</f>
        <v>53</v>
      </c>
      <c r="AG121" s="779">
        <f t="shared" si="70"/>
        <v>-0.13114754098360656</v>
      </c>
      <c r="AH121" s="661">
        <f t="shared" si="71"/>
        <v>-0.13114754098360656</v>
      </c>
      <c r="AI121" s="661">
        <f t="shared" si="72"/>
        <v>-0.24285714285714285</v>
      </c>
      <c r="AJ121" s="656">
        <f t="shared" si="73"/>
        <v>52.333333333333336</v>
      </c>
    </row>
    <row r="122" spans="1:36" ht="12.6" thickTop="1" x14ac:dyDescent="0.25">
      <c r="A122" s="397" t="s">
        <v>92</v>
      </c>
      <c r="B122" s="398"/>
      <c r="C122" s="398"/>
      <c r="D122" s="137"/>
      <c r="E122" s="137"/>
      <c r="F122" s="398"/>
      <c r="G122" s="398"/>
      <c r="H122" s="399"/>
      <c r="I122" s="399"/>
      <c r="J122" s="399"/>
      <c r="K122" s="399"/>
      <c r="L122" s="400"/>
      <c r="M122" s="399"/>
      <c r="N122" s="399"/>
      <c r="O122" s="138"/>
      <c r="P122" s="138"/>
      <c r="Q122" s="138"/>
      <c r="R122" s="138"/>
      <c r="S122" s="138"/>
      <c r="T122" s="138"/>
      <c r="U122" s="138"/>
      <c r="V122" s="138"/>
      <c r="W122" s="138"/>
      <c r="X122" s="138"/>
      <c r="Y122" s="138"/>
      <c r="Z122" s="139"/>
      <c r="AA122" s="139"/>
      <c r="AB122" s="139"/>
      <c r="AC122" s="139"/>
      <c r="AD122" s="139"/>
      <c r="AE122" s="139"/>
      <c r="AF122" s="139"/>
      <c r="AG122" s="139"/>
      <c r="AH122" s="140"/>
      <c r="AI122" s="139"/>
      <c r="AJ122" s="229"/>
    </row>
    <row r="123" spans="1:36" ht="12" x14ac:dyDescent="0.25">
      <c r="A123" s="401" t="s">
        <v>48</v>
      </c>
      <c r="B123" s="141">
        <f t="shared" ref="B123:R123" si="76">+B89+B99</f>
        <v>0</v>
      </c>
      <c r="C123" s="141">
        <f t="shared" si="76"/>
        <v>0</v>
      </c>
      <c r="D123" s="141">
        <f t="shared" si="76"/>
        <v>0</v>
      </c>
      <c r="E123" s="141">
        <f t="shared" si="76"/>
        <v>0</v>
      </c>
      <c r="F123" s="141">
        <f t="shared" si="76"/>
        <v>0</v>
      </c>
      <c r="G123" s="141">
        <f t="shared" si="76"/>
        <v>0</v>
      </c>
      <c r="H123" s="141">
        <f t="shared" si="76"/>
        <v>0</v>
      </c>
      <c r="I123" s="141">
        <f t="shared" si="76"/>
        <v>0</v>
      </c>
      <c r="J123" s="141">
        <f t="shared" si="76"/>
        <v>0</v>
      </c>
      <c r="K123" s="141">
        <f t="shared" si="76"/>
        <v>0</v>
      </c>
      <c r="L123" s="141">
        <f t="shared" si="76"/>
        <v>0</v>
      </c>
      <c r="M123" s="141">
        <f t="shared" si="76"/>
        <v>0</v>
      </c>
      <c r="N123" s="141">
        <f t="shared" si="76"/>
        <v>0</v>
      </c>
      <c r="O123" s="268">
        <f t="shared" si="76"/>
        <v>0</v>
      </c>
      <c r="P123" s="268">
        <f t="shared" si="76"/>
        <v>8</v>
      </c>
      <c r="Q123" s="301">
        <f t="shared" si="76"/>
        <v>7</v>
      </c>
      <c r="R123" s="301">
        <f t="shared" si="76"/>
        <v>8</v>
      </c>
      <c r="S123" s="301">
        <f t="shared" ref="S123:AB123" si="77">+S89+S99+S120</f>
        <v>8</v>
      </c>
      <c r="T123" s="301">
        <f t="shared" si="77"/>
        <v>16</v>
      </c>
      <c r="U123" s="541">
        <f t="shared" si="77"/>
        <v>13</v>
      </c>
      <c r="V123" s="722">
        <f t="shared" si="77"/>
        <v>8</v>
      </c>
      <c r="W123" s="170">
        <f t="shared" si="77"/>
        <v>1</v>
      </c>
      <c r="X123" s="141">
        <f t="shared" si="77"/>
        <v>5</v>
      </c>
      <c r="Y123" s="141">
        <f t="shared" si="77"/>
        <v>21</v>
      </c>
      <c r="Z123" s="141">
        <f t="shared" si="77"/>
        <v>10</v>
      </c>
      <c r="AA123" s="141">
        <f t="shared" si="77"/>
        <v>10</v>
      </c>
      <c r="AB123" s="141">
        <f t="shared" si="77"/>
        <v>3</v>
      </c>
      <c r="AC123" s="141">
        <f>+AC119+AC99+AC89</f>
        <v>12</v>
      </c>
      <c r="AD123" s="141">
        <f>+AD119+AD99+AD89</f>
        <v>0</v>
      </c>
      <c r="AE123" s="141">
        <f>+AE119+AE99+AE89</f>
        <v>1</v>
      </c>
      <c r="AF123" s="750">
        <f>+AF119+AF99+AF89</f>
        <v>1</v>
      </c>
      <c r="AG123" s="780">
        <f t="shared" ref="AG123:AG128" si="78">IF(AF123=0," ",IF(AJ123&gt;20,(AF123-AE123)/AE123," "))</f>
        <v>0</v>
      </c>
      <c r="AH123" s="200">
        <f t="shared" ref="AH123:AH128" si="79">IF(AF123=0," ",IF(AJ123&gt;20,(AF123-AA123)/AA123," "))</f>
        <v>-0.9</v>
      </c>
      <c r="AI123" s="143">
        <f t="shared" ref="AI123:AI128" si="80">IF(AF123=0," ",(IF(AJ123&gt;20,(AF123-V123)/V123," ")))</f>
        <v>-0.875</v>
      </c>
      <c r="AJ123" s="224" t="str">
        <f t="shared" ref="AJ123:AJ128" si="81">IF(AD123&gt;0,AVERAGE(AD123:AF123),"  ")</f>
        <v xml:space="preserve">  </v>
      </c>
    </row>
    <row r="124" spans="1:36" ht="12" x14ac:dyDescent="0.25">
      <c r="A124" s="401" t="s">
        <v>29</v>
      </c>
      <c r="B124" s="142">
        <f t="shared" ref="B124:AE124" si="82">+B84+B83+B90+B98+B100+B101+B104+B105+B106+B114+B115+B116+B117+B111+B95</f>
        <v>138</v>
      </c>
      <c r="C124" s="142">
        <f t="shared" si="82"/>
        <v>137</v>
      </c>
      <c r="D124" s="142">
        <f t="shared" si="82"/>
        <v>158</v>
      </c>
      <c r="E124" s="142">
        <f t="shared" si="82"/>
        <v>163</v>
      </c>
      <c r="F124" s="142">
        <f t="shared" si="82"/>
        <v>178</v>
      </c>
      <c r="G124" s="142">
        <f t="shared" si="82"/>
        <v>142</v>
      </c>
      <c r="H124" s="142">
        <f t="shared" si="82"/>
        <v>136</v>
      </c>
      <c r="I124" s="142">
        <f t="shared" si="82"/>
        <v>155</v>
      </c>
      <c r="J124" s="142">
        <f t="shared" si="82"/>
        <v>194</v>
      </c>
      <c r="K124" s="142">
        <f t="shared" si="82"/>
        <v>207</v>
      </c>
      <c r="L124" s="142">
        <f t="shared" si="82"/>
        <v>190</v>
      </c>
      <c r="M124" s="142">
        <f t="shared" si="82"/>
        <v>209</v>
      </c>
      <c r="N124" s="142">
        <f t="shared" si="82"/>
        <v>170</v>
      </c>
      <c r="O124" s="269">
        <f t="shared" si="82"/>
        <v>222</v>
      </c>
      <c r="P124" s="269">
        <f t="shared" si="82"/>
        <v>209</v>
      </c>
      <c r="Q124" s="302">
        <f t="shared" si="82"/>
        <v>213</v>
      </c>
      <c r="R124" s="302">
        <f t="shared" si="82"/>
        <v>225</v>
      </c>
      <c r="S124" s="302">
        <f t="shared" si="82"/>
        <v>245</v>
      </c>
      <c r="T124" s="302">
        <f t="shared" si="82"/>
        <v>281</v>
      </c>
      <c r="U124" s="542">
        <f t="shared" si="82"/>
        <v>258</v>
      </c>
      <c r="V124" s="723">
        <f t="shared" si="82"/>
        <v>262</v>
      </c>
      <c r="W124" s="171">
        <f t="shared" si="82"/>
        <v>271</v>
      </c>
      <c r="X124" s="142">
        <f t="shared" si="82"/>
        <v>308</v>
      </c>
      <c r="Y124" s="142">
        <f t="shared" si="82"/>
        <v>323</v>
      </c>
      <c r="Z124" s="142">
        <f t="shared" si="82"/>
        <v>323</v>
      </c>
      <c r="AA124" s="142">
        <f t="shared" si="82"/>
        <v>324</v>
      </c>
      <c r="AB124" s="142">
        <f t="shared" si="82"/>
        <v>349</v>
      </c>
      <c r="AC124" s="142">
        <f t="shared" si="82"/>
        <v>331</v>
      </c>
      <c r="AD124" s="142">
        <f t="shared" si="82"/>
        <v>287</v>
      </c>
      <c r="AE124" s="142">
        <f t="shared" si="82"/>
        <v>277</v>
      </c>
      <c r="AF124" s="269">
        <f t="shared" ref="AF124" si="83">+AF84+AF83+AF90+AF98+AF100+AF101+AF104+AF105+AF106+AF114+AF115+AF116+AF117+AF111+AF95</f>
        <v>274</v>
      </c>
      <c r="AG124" s="781">
        <f t="shared" si="78"/>
        <v>-1.0830324909747292E-2</v>
      </c>
      <c r="AH124" s="201">
        <f t="shared" si="79"/>
        <v>-0.15432098765432098</v>
      </c>
      <c r="AI124" s="144">
        <f t="shared" si="80"/>
        <v>4.5801526717557252E-2</v>
      </c>
      <c r="AJ124" s="225">
        <f t="shared" si="81"/>
        <v>279.33333333333331</v>
      </c>
    </row>
    <row r="125" spans="1:36" ht="12" x14ac:dyDescent="0.25">
      <c r="A125" s="401" t="s">
        <v>90</v>
      </c>
      <c r="B125" s="142"/>
      <c r="C125" s="142"/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269"/>
      <c r="P125" s="269"/>
      <c r="Q125" s="302"/>
      <c r="R125" s="302">
        <v>0</v>
      </c>
      <c r="S125" s="302">
        <f t="shared" ref="S125:AB125" si="84">+S120+S118</f>
        <v>0</v>
      </c>
      <c r="T125" s="302">
        <f t="shared" si="84"/>
        <v>0</v>
      </c>
      <c r="U125" s="542">
        <f t="shared" si="84"/>
        <v>0</v>
      </c>
      <c r="V125" s="723">
        <f t="shared" si="84"/>
        <v>0</v>
      </c>
      <c r="W125" s="171">
        <f t="shared" si="84"/>
        <v>0</v>
      </c>
      <c r="X125" s="142">
        <f t="shared" si="84"/>
        <v>0</v>
      </c>
      <c r="Y125" s="142">
        <f t="shared" si="84"/>
        <v>0</v>
      </c>
      <c r="Z125" s="142">
        <f t="shared" si="84"/>
        <v>1</v>
      </c>
      <c r="AA125" s="142">
        <f t="shared" si="84"/>
        <v>2</v>
      </c>
      <c r="AB125" s="142">
        <f t="shared" si="84"/>
        <v>12</v>
      </c>
      <c r="AC125" s="142">
        <f>+AC120+AC118</f>
        <v>5</v>
      </c>
      <c r="AD125" s="142">
        <f>+AD120+AD118</f>
        <v>3</v>
      </c>
      <c r="AE125" s="142">
        <f>+AE120+AE118</f>
        <v>5</v>
      </c>
      <c r="AF125" s="269">
        <f>+AF120+AF118</f>
        <v>11</v>
      </c>
      <c r="AG125" s="781" t="str">
        <f t="shared" si="78"/>
        <v xml:space="preserve"> </v>
      </c>
      <c r="AH125" s="201" t="str">
        <f t="shared" si="79"/>
        <v xml:space="preserve"> </v>
      </c>
      <c r="AI125" s="144" t="str">
        <f t="shared" si="80"/>
        <v xml:space="preserve"> </v>
      </c>
      <c r="AJ125" s="225">
        <f t="shared" si="81"/>
        <v>6.333333333333333</v>
      </c>
    </row>
    <row r="126" spans="1:36" ht="12" x14ac:dyDescent="0.25">
      <c r="A126" s="401" t="s">
        <v>91</v>
      </c>
      <c r="B126" s="142">
        <f t="shared" ref="B126:AE126" si="85">+B87+B113</f>
        <v>0</v>
      </c>
      <c r="C126" s="142">
        <f t="shared" si="85"/>
        <v>0</v>
      </c>
      <c r="D126" s="142">
        <f t="shared" si="85"/>
        <v>0</v>
      </c>
      <c r="E126" s="142">
        <f t="shared" si="85"/>
        <v>0</v>
      </c>
      <c r="F126" s="142">
        <f t="shared" si="85"/>
        <v>0</v>
      </c>
      <c r="G126" s="142">
        <f t="shared" si="85"/>
        <v>0</v>
      </c>
      <c r="H126" s="142">
        <f t="shared" si="85"/>
        <v>0</v>
      </c>
      <c r="I126" s="142">
        <f t="shared" si="85"/>
        <v>0</v>
      </c>
      <c r="J126" s="142">
        <f t="shared" si="85"/>
        <v>0</v>
      </c>
      <c r="K126" s="142">
        <f t="shared" si="85"/>
        <v>0</v>
      </c>
      <c r="L126" s="142">
        <f t="shared" si="85"/>
        <v>0</v>
      </c>
      <c r="M126" s="142">
        <f t="shared" si="85"/>
        <v>0</v>
      </c>
      <c r="N126" s="142">
        <f t="shared" si="85"/>
        <v>0</v>
      </c>
      <c r="O126" s="269">
        <f t="shared" si="85"/>
        <v>0</v>
      </c>
      <c r="P126" s="269">
        <f t="shared" si="85"/>
        <v>0</v>
      </c>
      <c r="Q126" s="302">
        <f t="shared" si="85"/>
        <v>0</v>
      </c>
      <c r="R126" s="302">
        <f t="shared" si="85"/>
        <v>0</v>
      </c>
      <c r="S126" s="302">
        <f t="shared" si="85"/>
        <v>0</v>
      </c>
      <c r="T126" s="302">
        <f t="shared" si="85"/>
        <v>0</v>
      </c>
      <c r="U126" s="542">
        <f t="shared" si="85"/>
        <v>0</v>
      </c>
      <c r="V126" s="723">
        <f t="shared" si="85"/>
        <v>8</v>
      </c>
      <c r="W126" s="171">
        <f t="shared" si="85"/>
        <v>0</v>
      </c>
      <c r="X126" s="142">
        <f t="shared" si="85"/>
        <v>1</v>
      </c>
      <c r="Y126" s="142">
        <f t="shared" si="85"/>
        <v>13</v>
      </c>
      <c r="Z126" s="142">
        <f t="shared" si="85"/>
        <v>7</v>
      </c>
      <c r="AA126" s="142">
        <f t="shared" si="85"/>
        <v>15</v>
      </c>
      <c r="AB126" s="142">
        <f t="shared" si="85"/>
        <v>9</v>
      </c>
      <c r="AC126" s="142">
        <f t="shared" si="85"/>
        <v>18</v>
      </c>
      <c r="AD126" s="142">
        <f t="shared" si="85"/>
        <v>13</v>
      </c>
      <c r="AE126" s="142">
        <f t="shared" si="85"/>
        <v>13</v>
      </c>
      <c r="AF126" s="269">
        <f t="shared" ref="AF126" si="86">+AF87+AF113</f>
        <v>7</v>
      </c>
      <c r="AG126" s="781" t="str">
        <f t="shared" si="78"/>
        <v xml:space="preserve"> </v>
      </c>
      <c r="AH126" s="201" t="str">
        <f t="shared" si="79"/>
        <v xml:space="preserve"> </v>
      </c>
      <c r="AI126" s="144" t="str">
        <f t="shared" si="80"/>
        <v xml:space="preserve"> </v>
      </c>
      <c r="AJ126" s="225">
        <f t="shared" si="81"/>
        <v>11</v>
      </c>
    </row>
    <row r="127" spans="1:36" ht="12" x14ac:dyDescent="0.25">
      <c r="A127" s="401" t="s">
        <v>111</v>
      </c>
      <c r="B127" s="142"/>
      <c r="C127" s="142"/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269"/>
      <c r="P127" s="269"/>
      <c r="Q127" s="302"/>
      <c r="R127" s="302"/>
      <c r="S127" s="302"/>
      <c r="T127" s="302"/>
      <c r="U127" s="542">
        <f t="shared" ref="U127:AD127" si="87">U88</f>
        <v>0</v>
      </c>
      <c r="V127" s="723">
        <f t="shared" si="87"/>
        <v>0</v>
      </c>
      <c r="W127" s="171">
        <f t="shared" si="87"/>
        <v>0</v>
      </c>
      <c r="X127" s="142">
        <f t="shared" si="87"/>
        <v>0</v>
      </c>
      <c r="Y127" s="142">
        <f t="shared" si="87"/>
        <v>0</v>
      </c>
      <c r="Z127" s="142">
        <f t="shared" si="87"/>
        <v>0</v>
      </c>
      <c r="AA127" s="142">
        <f t="shared" si="87"/>
        <v>0</v>
      </c>
      <c r="AB127" s="142">
        <f t="shared" si="87"/>
        <v>0</v>
      </c>
      <c r="AC127" s="142">
        <f t="shared" si="87"/>
        <v>0</v>
      </c>
      <c r="AD127" s="142">
        <f t="shared" si="87"/>
        <v>0</v>
      </c>
      <c r="AE127" s="142">
        <f>AE88</f>
        <v>1</v>
      </c>
      <c r="AF127" s="269">
        <f>AF88</f>
        <v>0</v>
      </c>
      <c r="AG127" s="782" t="str">
        <f t="shared" si="78"/>
        <v xml:space="preserve"> </v>
      </c>
      <c r="AH127" s="201" t="str">
        <f t="shared" si="79"/>
        <v xml:space="preserve"> </v>
      </c>
      <c r="AI127" s="430" t="str">
        <f t="shared" si="80"/>
        <v xml:space="preserve"> </v>
      </c>
      <c r="AJ127" s="225" t="str">
        <f t="shared" si="81"/>
        <v xml:space="preserve">  </v>
      </c>
    </row>
    <row r="128" spans="1:36" ht="13.8" thickBot="1" x14ac:dyDescent="0.3">
      <c r="A128" s="374" t="s">
        <v>93</v>
      </c>
      <c r="B128" s="148">
        <f t="shared" ref="B128:T128" si="88">+B126+B125+B123+B124</f>
        <v>138</v>
      </c>
      <c r="C128" s="148">
        <f t="shared" si="88"/>
        <v>137</v>
      </c>
      <c r="D128" s="148">
        <f t="shared" si="88"/>
        <v>158</v>
      </c>
      <c r="E128" s="148">
        <f t="shared" si="88"/>
        <v>163</v>
      </c>
      <c r="F128" s="148">
        <f t="shared" si="88"/>
        <v>178</v>
      </c>
      <c r="G128" s="148">
        <f t="shared" si="88"/>
        <v>142</v>
      </c>
      <c r="H128" s="148">
        <f t="shared" si="88"/>
        <v>136</v>
      </c>
      <c r="I128" s="148">
        <f t="shared" si="88"/>
        <v>155</v>
      </c>
      <c r="J128" s="148">
        <f t="shared" si="88"/>
        <v>194</v>
      </c>
      <c r="K128" s="148">
        <f t="shared" si="88"/>
        <v>207</v>
      </c>
      <c r="L128" s="148">
        <f t="shared" si="88"/>
        <v>190</v>
      </c>
      <c r="M128" s="148">
        <f t="shared" si="88"/>
        <v>209</v>
      </c>
      <c r="N128" s="148">
        <f t="shared" si="88"/>
        <v>170</v>
      </c>
      <c r="O128" s="258">
        <f t="shared" si="88"/>
        <v>222</v>
      </c>
      <c r="P128" s="258">
        <f t="shared" si="88"/>
        <v>217</v>
      </c>
      <c r="Q128" s="293">
        <f t="shared" si="88"/>
        <v>220</v>
      </c>
      <c r="R128" s="293">
        <f t="shared" si="88"/>
        <v>233</v>
      </c>
      <c r="S128" s="293">
        <f t="shared" si="88"/>
        <v>253</v>
      </c>
      <c r="T128" s="293">
        <f t="shared" si="88"/>
        <v>297</v>
      </c>
      <c r="U128" s="525">
        <f t="shared" ref="U128:AD128" si="89">+U127+U126+U125+U123+U124</f>
        <v>271</v>
      </c>
      <c r="V128" s="699">
        <f t="shared" si="89"/>
        <v>278</v>
      </c>
      <c r="W128" s="166">
        <f t="shared" si="89"/>
        <v>272</v>
      </c>
      <c r="X128" s="30">
        <f t="shared" si="89"/>
        <v>314</v>
      </c>
      <c r="Y128" s="30">
        <f t="shared" si="89"/>
        <v>357</v>
      </c>
      <c r="Z128" s="30">
        <f t="shared" si="89"/>
        <v>341</v>
      </c>
      <c r="AA128" s="30">
        <f t="shared" si="89"/>
        <v>351</v>
      </c>
      <c r="AB128" s="30">
        <f t="shared" si="89"/>
        <v>373</v>
      </c>
      <c r="AC128" s="30">
        <f t="shared" si="89"/>
        <v>366</v>
      </c>
      <c r="AD128" s="30">
        <f t="shared" si="89"/>
        <v>303</v>
      </c>
      <c r="AE128" s="30">
        <f>+AE127+AE126+AE125+AE123+AE124</f>
        <v>297</v>
      </c>
      <c r="AF128" s="258">
        <f>+AF127+AF126+AF125+AF123+AF124</f>
        <v>293</v>
      </c>
      <c r="AG128" s="783">
        <f t="shared" si="78"/>
        <v>-1.3468013468013467E-2</v>
      </c>
      <c r="AH128" s="197">
        <f t="shared" si="79"/>
        <v>-0.16524216524216523</v>
      </c>
      <c r="AI128" s="199">
        <f t="shared" si="80"/>
        <v>5.3956834532374098E-2</v>
      </c>
      <c r="AJ128" s="30">
        <f t="shared" si="81"/>
        <v>297.66666666666669</v>
      </c>
    </row>
    <row r="129" spans="1:44" ht="11.4" thickTop="1" thickBot="1" x14ac:dyDescent="0.25">
      <c r="AG129" s="784"/>
    </row>
    <row r="130" spans="1:44" ht="14.4" thickTop="1" thickBot="1" x14ac:dyDescent="0.3">
      <c r="A130" s="810" t="s">
        <v>94</v>
      </c>
      <c r="B130" s="145">
        <f t="shared" ref="B130:AE130" si="90">+B128+B74</f>
        <v>1144</v>
      </c>
      <c r="C130" s="145">
        <f t="shared" si="90"/>
        <v>1210</v>
      </c>
      <c r="D130" s="145">
        <f t="shared" si="90"/>
        <v>1293</v>
      </c>
      <c r="E130" s="145">
        <f t="shared" si="90"/>
        <v>1348</v>
      </c>
      <c r="F130" s="145">
        <f t="shared" si="90"/>
        <v>1285</v>
      </c>
      <c r="G130" s="145">
        <f t="shared" si="90"/>
        <v>1133</v>
      </c>
      <c r="H130" s="145">
        <f t="shared" si="90"/>
        <v>1352</v>
      </c>
      <c r="I130" s="145">
        <f t="shared" si="90"/>
        <v>1386</v>
      </c>
      <c r="J130" s="145">
        <f t="shared" si="90"/>
        <v>1546</v>
      </c>
      <c r="K130" s="145">
        <f t="shared" si="90"/>
        <v>1506</v>
      </c>
      <c r="L130" s="145">
        <f t="shared" si="90"/>
        <v>1503</v>
      </c>
      <c r="M130" s="145">
        <f t="shared" si="90"/>
        <v>1609</v>
      </c>
      <c r="N130" s="145">
        <f t="shared" si="90"/>
        <v>1609</v>
      </c>
      <c r="O130" s="270">
        <f t="shared" si="90"/>
        <v>1775</v>
      </c>
      <c r="P130" s="270">
        <f t="shared" si="90"/>
        <v>1825</v>
      </c>
      <c r="Q130" s="303">
        <f t="shared" si="90"/>
        <v>1881</v>
      </c>
      <c r="R130" s="303">
        <f t="shared" si="90"/>
        <v>1942</v>
      </c>
      <c r="S130" s="303">
        <f t="shared" si="90"/>
        <v>2040</v>
      </c>
      <c r="T130" s="303">
        <f t="shared" si="90"/>
        <v>2169</v>
      </c>
      <c r="U130" s="543">
        <f t="shared" si="90"/>
        <v>2170</v>
      </c>
      <c r="V130" s="724">
        <f t="shared" si="90"/>
        <v>2213</v>
      </c>
      <c r="W130" s="172">
        <f t="shared" si="90"/>
        <v>2239</v>
      </c>
      <c r="X130" s="145">
        <f t="shared" si="90"/>
        <v>2340</v>
      </c>
      <c r="Y130" s="145">
        <f t="shared" si="90"/>
        <v>2229</v>
      </c>
      <c r="Z130" s="145">
        <f t="shared" si="90"/>
        <v>2146</v>
      </c>
      <c r="AA130" s="145">
        <f t="shared" si="90"/>
        <v>2258</v>
      </c>
      <c r="AB130" s="145">
        <f t="shared" si="90"/>
        <v>2215</v>
      </c>
      <c r="AC130" s="145">
        <f t="shared" si="90"/>
        <v>2030</v>
      </c>
      <c r="AD130" s="145">
        <f t="shared" si="90"/>
        <v>1908</v>
      </c>
      <c r="AE130" s="145">
        <f t="shared" si="90"/>
        <v>1765</v>
      </c>
      <c r="AF130" s="270">
        <f>+AF128+AF74</f>
        <v>1669</v>
      </c>
      <c r="AG130" s="785">
        <f>IF(AF130=0," ",IF(AJ130&gt;20,(AF130-AE130)/AE130," "))</f>
        <v>-5.4390934844192634E-2</v>
      </c>
      <c r="AH130" s="198">
        <f>IF(AF130=0," ",IF(AJ130&gt;20,(AF130-AA130)/AA130," "))</f>
        <v>-0.26085031000885739</v>
      </c>
      <c r="AI130" s="226">
        <f>IF(AF130=0," ",(IF(AJ130&gt;20,(AF130-V130)/V130," ")))</f>
        <v>-0.24582015363759602</v>
      </c>
      <c r="AJ130" s="227">
        <f>IF(AD130&gt;0,AVERAGE(AD130:AF130),"  ")</f>
        <v>1780.6666666666667</v>
      </c>
      <c r="AK130" s="146"/>
      <c r="AL130" s="146"/>
      <c r="AM130" s="334"/>
      <c r="AN130" s="334"/>
      <c r="AO130" s="334"/>
      <c r="AP130" s="334"/>
      <c r="AQ130" s="334"/>
      <c r="AR130" s="334"/>
    </row>
    <row r="131" spans="1:44" ht="8.4" customHeight="1" thickTop="1" thickBot="1" x14ac:dyDescent="0.25"/>
    <row r="132" spans="1:44" ht="12.6" thickTop="1" x14ac:dyDescent="0.25">
      <c r="A132" s="406" t="s">
        <v>97</v>
      </c>
      <c r="B132" s="407"/>
      <c r="C132" s="407"/>
      <c r="D132" s="271"/>
      <c r="E132" s="271"/>
      <c r="F132" s="407"/>
      <c r="G132" s="407"/>
      <c r="H132" s="408"/>
      <c r="I132" s="408"/>
      <c r="J132" s="408"/>
      <c r="K132" s="408"/>
      <c r="L132" s="409"/>
      <c r="M132" s="408"/>
      <c r="N132" s="408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3"/>
      <c r="AA132" s="273"/>
      <c r="AB132" s="273"/>
      <c r="AC132" s="273"/>
      <c r="AD132" s="273"/>
      <c r="AE132" s="273"/>
      <c r="AF132" s="273"/>
      <c r="AG132" s="273"/>
      <c r="AH132" s="274"/>
      <c r="AI132" s="273"/>
      <c r="AJ132" s="275"/>
    </row>
    <row r="133" spans="1:44" ht="12" x14ac:dyDescent="0.25">
      <c r="A133" s="572" t="s">
        <v>170</v>
      </c>
      <c r="B133" s="141"/>
      <c r="C133" s="141"/>
      <c r="D133" s="141"/>
      <c r="E133" s="141"/>
      <c r="F133" s="141"/>
      <c r="G133" s="141"/>
      <c r="H133" s="141"/>
      <c r="I133" s="141"/>
      <c r="J133" s="141"/>
      <c r="K133" s="141"/>
      <c r="L133" s="141"/>
      <c r="M133" s="141"/>
      <c r="N133" s="141"/>
      <c r="O133" s="268"/>
      <c r="P133" s="268"/>
      <c r="Q133" s="301"/>
      <c r="R133" s="301">
        <v>0</v>
      </c>
      <c r="S133" s="301"/>
      <c r="T133" s="301">
        <v>0</v>
      </c>
      <c r="U133" s="573"/>
      <c r="V133" s="725"/>
      <c r="W133" s="170"/>
      <c r="X133" s="141"/>
      <c r="Y133" s="141">
        <v>1</v>
      </c>
      <c r="Z133" s="141">
        <v>9</v>
      </c>
      <c r="AA133" s="141">
        <v>4</v>
      </c>
      <c r="AB133" s="141">
        <v>17</v>
      </c>
      <c r="AC133" s="141">
        <v>10</v>
      </c>
      <c r="AD133" s="141">
        <v>14</v>
      </c>
      <c r="AE133" s="141">
        <v>12</v>
      </c>
      <c r="AF133" s="751">
        <v>18</v>
      </c>
      <c r="AG133" s="780" t="str">
        <f t="shared" ref="AG133:AG135" si="91">IF(AF133=0," ",IF(AJ133&gt;20,(AF133-AE133)/AE133," "))</f>
        <v xml:space="preserve"> </v>
      </c>
      <c r="AH133" s="574" t="str">
        <f t="shared" ref="AH133:AH135" si="92">IF(AF133=0," ",IF(AJ133&gt;20,(AF133-AA133)/AA133," "))</f>
        <v xml:space="preserve"> </v>
      </c>
      <c r="AI133" s="143" t="str">
        <f t="shared" ref="AI133:AI135" si="93">IF(AF133=0," ",(IF(AJ133&gt;20,(AF133-V133)/V133," ")))</f>
        <v xml:space="preserve"> </v>
      </c>
      <c r="AJ133" s="224">
        <f t="shared" ref="AJ133:AJ135" si="94">IF(AD133&gt;0,AVERAGE(AD133:AF133),"  ")</f>
        <v>14.666666666666666</v>
      </c>
    </row>
    <row r="134" spans="1:44" ht="12" x14ac:dyDescent="0.25">
      <c r="A134" s="575" t="s">
        <v>150</v>
      </c>
      <c r="B134" s="576"/>
      <c r="C134" s="576"/>
      <c r="D134" s="576"/>
      <c r="E134" s="576"/>
      <c r="F134" s="576"/>
      <c r="G134" s="576"/>
      <c r="H134" s="576"/>
      <c r="I134" s="576"/>
      <c r="J134" s="576"/>
      <c r="K134" s="576"/>
      <c r="L134" s="576"/>
      <c r="M134" s="576"/>
      <c r="N134" s="576"/>
      <c r="O134" s="577"/>
      <c r="P134" s="577"/>
      <c r="Q134" s="578"/>
      <c r="R134" s="578"/>
      <c r="S134" s="578"/>
      <c r="T134" s="578"/>
      <c r="U134" s="579"/>
      <c r="V134" s="726"/>
      <c r="W134" s="580"/>
      <c r="X134" s="581"/>
      <c r="Y134" s="581"/>
      <c r="Z134" s="581"/>
      <c r="AA134" s="582"/>
      <c r="AB134" s="583"/>
      <c r="AC134" s="583"/>
      <c r="AD134" s="583"/>
      <c r="AE134" s="580"/>
      <c r="AF134" s="752">
        <v>2</v>
      </c>
      <c r="AG134" s="786"/>
      <c r="AH134" s="585"/>
      <c r="AI134" s="584"/>
      <c r="AJ134" s="586" t="str">
        <f t="shared" si="94"/>
        <v xml:space="preserve">  </v>
      </c>
    </row>
    <row r="135" spans="1:44" ht="12" x14ac:dyDescent="0.25">
      <c r="A135" s="587" t="s">
        <v>151</v>
      </c>
      <c r="B135" s="588"/>
      <c r="C135" s="588"/>
      <c r="D135" s="588"/>
      <c r="E135" s="588"/>
      <c r="F135" s="588"/>
      <c r="G135" s="588"/>
      <c r="H135" s="588"/>
      <c r="I135" s="588"/>
      <c r="J135" s="588"/>
      <c r="K135" s="588"/>
      <c r="L135" s="588"/>
      <c r="M135" s="588"/>
      <c r="N135" s="588"/>
      <c r="O135" s="589"/>
      <c r="P135" s="589"/>
      <c r="Q135" s="590"/>
      <c r="R135" s="590"/>
      <c r="S135" s="590"/>
      <c r="T135" s="590"/>
      <c r="U135" s="591"/>
      <c r="V135" s="727"/>
      <c r="W135" s="592"/>
      <c r="X135" s="588"/>
      <c r="Y135" s="588"/>
      <c r="Z135" s="588"/>
      <c r="AA135" s="589">
        <f>+AA134+AA133</f>
        <v>4</v>
      </c>
      <c r="AB135" s="589">
        <f t="shared" ref="AB135:AF135" si="95">+AB134+AB133</f>
        <v>17</v>
      </c>
      <c r="AC135" s="589">
        <f t="shared" si="95"/>
        <v>10</v>
      </c>
      <c r="AD135" s="589">
        <f t="shared" si="95"/>
        <v>14</v>
      </c>
      <c r="AE135" s="589">
        <f t="shared" si="95"/>
        <v>12</v>
      </c>
      <c r="AF135" s="589">
        <f t="shared" si="95"/>
        <v>20</v>
      </c>
      <c r="AG135" s="786" t="str">
        <f t="shared" si="91"/>
        <v xml:space="preserve"> </v>
      </c>
      <c r="AH135" s="585" t="str">
        <f t="shared" si="92"/>
        <v xml:space="preserve"> </v>
      </c>
      <c r="AI135" s="584" t="str">
        <f t="shared" si="93"/>
        <v xml:space="preserve"> </v>
      </c>
      <c r="AJ135" s="586">
        <f t="shared" si="94"/>
        <v>15.333333333333334</v>
      </c>
    </row>
    <row r="136" spans="1:44" ht="7.2" customHeight="1" thickBot="1" x14ac:dyDescent="0.3">
      <c r="T136" s="410"/>
      <c r="U136" s="410"/>
      <c r="V136" s="410"/>
      <c r="W136" s="410"/>
      <c r="X136" s="410"/>
      <c r="Y136" s="411"/>
      <c r="Z136" s="411"/>
      <c r="AA136" s="411"/>
      <c r="AB136" s="411"/>
      <c r="AC136" s="411"/>
      <c r="AD136" s="411"/>
      <c r="AE136" s="411"/>
      <c r="AF136" s="411"/>
      <c r="AG136" s="412"/>
      <c r="AH136" s="412"/>
      <c r="AI136" s="3"/>
    </row>
    <row r="137" spans="1:44" x14ac:dyDescent="0.2">
      <c r="A137" s="334"/>
      <c r="Z137" s="334"/>
      <c r="AA137" s="798" t="s">
        <v>156</v>
      </c>
      <c r="AB137" s="799"/>
      <c r="AC137" s="799"/>
      <c r="AD137" s="799"/>
      <c r="AE137" s="799"/>
      <c r="AF137" s="799"/>
      <c r="AG137" s="799"/>
      <c r="AH137" s="799"/>
      <c r="AI137" s="799"/>
      <c r="AJ137" s="800"/>
      <c r="AK137" s="428"/>
      <c r="AL137" s="428"/>
      <c r="AR137" s="334"/>
    </row>
    <row r="138" spans="1:44" x14ac:dyDescent="0.2">
      <c r="A138" s="334"/>
      <c r="Z138" s="334"/>
      <c r="AA138" s="801" t="s">
        <v>140</v>
      </c>
      <c r="AB138" s="802"/>
      <c r="AC138" s="803"/>
      <c r="AD138" s="804" t="s">
        <v>104</v>
      </c>
      <c r="AE138" s="805"/>
      <c r="AF138" s="805"/>
      <c r="AG138" s="487"/>
      <c r="AH138" s="806" t="s">
        <v>51</v>
      </c>
      <c r="AI138" s="802"/>
      <c r="AJ138" s="807"/>
      <c r="AK138" s="429"/>
      <c r="AL138" s="429"/>
      <c r="AR138" s="334"/>
    </row>
    <row r="139" spans="1:44" ht="11.4" x14ac:dyDescent="0.2">
      <c r="A139" s="334"/>
      <c r="T139" s="334"/>
      <c r="U139" s="2"/>
      <c r="V139" s="334"/>
      <c r="W139" s="1"/>
      <c r="X139" s="1"/>
      <c r="AA139" s="413" t="s">
        <v>100</v>
      </c>
      <c r="AB139" s="323"/>
      <c r="AC139" s="414"/>
      <c r="AD139" s="419" t="s">
        <v>144</v>
      </c>
      <c r="AE139" s="415"/>
      <c r="AF139" s="415"/>
      <c r="AG139" s="415"/>
      <c r="AH139" s="416" t="s">
        <v>1</v>
      </c>
      <c r="AI139" s="417"/>
      <c r="AJ139" s="418"/>
    </row>
    <row r="140" spans="1:44" x14ac:dyDescent="0.2">
      <c r="A140" s="334"/>
      <c r="T140" s="228"/>
      <c r="U140" s="228"/>
      <c r="V140" s="228"/>
      <c r="W140" s="228"/>
      <c r="X140" s="228"/>
      <c r="AA140" s="413" t="s">
        <v>154</v>
      </c>
      <c r="AB140" s="323"/>
      <c r="AC140" s="414"/>
      <c r="AD140" s="422" t="s">
        <v>12</v>
      </c>
      <c r="AE140" s="420"/>
      <c r="AF140" s="420"/>
      <c r="AG140" s="420"/>
      <c r="AH140" s="419" t="s">
        <v>46</v>
      </c>
      <c r="AI140" s="420"/>
      <c r="AJ140" s="421"/>
    </row>
    <row r="141" spans="1:44" x14ac:dyDescent="0.2">
      <c r="A141" s="334"/>
      <c r="AA141" s="413" t="s">
        <v>24</v>
      </c>
      <c r="AB141" s="323"/>
      <c r="AC141" s="414"/>
      <c r="AD141" s="422" t="s">
        <v>1</v>
      </c>
      <c r="AE141" s="423"/>
      <c r="AF141" s="423"/>
      <c r="AG141" s="423"/>
      <c r="AH141" s="422" t="s">
        <v>12</v>
      </c>
      <c r="AI141" s="423"/>
      <c r="AJ141" s="329"/>
    </row>
    <row r="142" spans="1:44" x14ac:dyDescent="0.2">
      <c r="A142" s="334"/>
      <c r="AA142" s="413" t="s">
        <v>10</v>
      </c>
      <c r="AB142" s="323"/>
      <c r="AC142" s="414"/>
      <c r="AD142" s="419" t="s">
        <v>46</v>
      </c>
      <c r="AE142" s="420"/>
      <c r="AF142" s="420"/>
      <c r="AG142" s="420"/>
      <c r="AH142" s="419" t="s">
        <v>144</v>
      </c>
      <c r="AI142" s="423"/>
      <c r="AJ142" s="329"/>
    </row>
    <row r="143" spans="1:44" x14ac:dyDescent="0.2">
      <c r="A143" s="334"/>
      <c r="AA143" s="413" t="s">
        <v>155</v>
      </c>
      <c r="AB143" s="323"/>
      <c r="AC143" s="414"/>
      <c r="AD143" s="419" t="s">
        <v>15</v>
      </c>
      <c r="AE143" s="420"/>
      <c r="AF143" s="420"/>
      <c r="AG143" s="420"/>
      <c r="AH143" s="419"/>
      <c r="AI143" s="423"/>
      <c r="AJ143" s="329"/>
    </row>
    <row r="144" spans="1:44" ht="10.8" thickBot="1" x14ac:dyDescent="0.25">
      <c r="A144" s="334"/>
      <c r="AA144" s="596"/>
      <c r="AB144" s="324"/>
      <c r="AC144" s="424"/>
      <c r="AD144" s="425" t="s">
        <v>20</v>
      </c>
      <c r="AE144" s="426"/>
      <c r="AF144" s="426"/>
      <c r="AG144" s="426"/>
      <c r="AH144" s="425"/>
      <c r="AI144" s="427"/>
      <c r="AJ144" s="330"/>
    </row>
    <row r="145" spans="1:36" x14ac:dyDescent="0.2">
      <c r="A145" s="328" t="s">
        <v>114</v>
      </c>
      <c r="AA145" s="618" t="s">
        <v>179</v>
      </c>
      <c r="AB145" s="619"/>
      <c r="AC145" s="620"/>
      <c r="AD145" s="621"/>
      <c r="AE145" s="621"/>
      <c r="AF145" s="621"/>
      <c r="AG145" s="621"/>
      <c r="AH145" s="622"/>
      <c r="AI145" s="621"/>
      <c r="AJ145" s="623"/>
    </row>
    <row r="146" spans="1:36" ht="12" thickBot="1" x14ac:dyDescent="0.25">
      <c r="A146" s="436" t="s">
        <v>158</v>
      </c>
      <c r="AA146" s="624" t="s">
        <v>178</v>
      </c>
      <c r="AB146" s="625"/>
      <c r="AC146" s="626"/>
      <c r="AD146" s="627"/>
      <c r="AE146" s="627"/>
      <c r="AF146" s="627"/>
      <c r="AG146" s="627"/>
      <c r="AH146" s="628"/>
      <c r="AI146" s="627"/>
      <c r="AJ146" s="629"/>
    </row>
    <row r="147" spans="1:36" ht="12.75" customHeight="1" x14ac:dyDescent="0.2">
      <c r="A147" s="434" t="s">
        <v>159</v>
      </c>
    </row>
    <row r="148" spans="1:36" ht="12.75" customHeight="1" x14ac:dyDescent="0.2">
      <c r="A148" s="434" t="s">
        <v>164</v>
      </c>
    </row>
    <row r="149" spans="1:36" ht="12.75" customHeight="1" x14ac:dyDescent="0.2">
      <c r="A149" s="435" t="s">
        <v>165</v>
      </c>
    </row>
    <row r="150" spans="1:36" ht="12.75" customHeight="1" x14ac:dyDescent="0.2">
      <c r="A150" s="334"/>
    </row>
  </sheetData>
  <sortState xmlns:xlrd2="http://schemas.microsoft.com/office/spreadsheetml/2017/richdata2" ref="A147:FW150">
    <sortCondition ref="A147:A150"/>
  </sortState>
  <mergeCells count="16">
    <mergeCell ref="AA137:AJ137"/>
    <mergeCell ref="AA138:AC138"/>
    <mergeCell ref="AD138:AF138"/>
    <mergeCell ref="AH138:AJ138"/>
    <mergeCell ref="AJ78:AJ79"/>
    <mergeCell ref="AH78:AH79"/>
    <mergeCell ref="A76:AJ76"/>
    <mergeCell ref="AI78:AI79"/>
    <mergeCell ref="A78:A79"/>
    <mergeCell ref="AG78:AG79"/>
    <mergeCell ref="A1:AJ1"/>
    <mergeCell ref="A3:A4"/>
    <mergeCell ref="AG3:AG4"/>
    <mergeCell ref="AH3:AH4"/>
    <mergeCell ref="AI3:AI4"/>
    <mergeCell ref="AJ3:AJ4"/>
  </mergeCells>
  <phoneticPr fontId="0" type="noConversion"/>
  <printOptions horizontalCentered="1"/>
  <pageMargins left="0.5" right="0.5" top="0.15" bottom="0.35" header="0.5" footer="0.2"/>
  <pageSetup scale="85" orientation="portrait" r:id="rId1"/>
  <headerFooter alignWithMargins="0">
    <oddFooter>&amp;L&amp;"Times New Roman,Regular"&amp;9Source: MHEC DIS&amp;C&amp;"Times New Roman,Regular"&amp;10C-6.0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43507-8F9E-4B04-9AD8-E950A1F916B0}">
  <dimension ref="A1:FW62"/>
  <sheetViews>
    <sheetView showGridLines="0" topLeftCell="A48" zoomScaleNormal="100" workbookViewId="0">
      <selection activeCell="A63" sqref="A63:XFD85"/>
    </sheetView>
  </sheetViews>
  <sheetFormatPr defaultColWidth="10.7109375" defaultRowHeight="10.199999999999999" x14ac:dyDescent="0.2"/>
  <cols>
    <col min="1" max="1" width="45.85546875" style="319" customWidth="1"/>
    <col min="2" max="9" width="7.42578125" style="319" hidden="1" customWidth="1"/>
    <col min="10" max="10" width="7.42578125" style="402" hidden="1" customWidth="1"/>
    <col min="11" max="11" width="7.42578125" style="403" hidden="1" customWidth="1"/>
    <col min="12" max="15" width="7.42578125" style="402" hidden="1" customWidth="1"/>
    <col min="16" max="16" width="7.42578125" style="95" hidden="1" customWidth="1"/>
    <col min="17" max="17" width="7.42578125" style="404" hidden="1" customWidth="1"/>
    <col min="18" max="18" width="7.28515625" style="404" hidden="1" customWidth="1"/>
    <col min="19" max="19" width="8.28515625" style="405" hidden="1" customWidth="1"/>
    <col min="20" max="20" width="8.28515625" style="404" hidden="1" customWidth="1"/>
    <col min="21" max="21" width="8.140625" style="404" hidden="1" customWidth="1"/>
    <col min="22" max="22" width="8.140625" style="404" customWidth="1"/>
    <col min="23" max="24" width="8.140625" style="404" hidden="1" customWidth="1"/>
    <col min="25" max="25" width="10" style="404" hidden="1" customWidth="1"/>
    <col min="26" max="26" width="8.140625" style="404" hidden="1" customWidth="1"/>
    <col min="27" max="32" width="8.140625" style="404" customWidth="1"/>
    <col min="33" max="33" width="8.85546875" style="404" customWidth="1"/>
    <col min="34" max="35" width="8.85546875" style="319" customWidth="1"/>
    <col min="36" max="36" width="9.7109375" style="319" customWidth="1"/>
    <col min="37" max="37" width="12.85546875" style="319" customWidth="1"/>
    <col min="38" max="43" width="10.7109375" style="319"/>
    <col min="44" max="44" width="10.85546875" style="319" customWidth="1"/>
    <col min="45" max="16384" width="10.7109375" style="334"/>
  </cols>
  <sheetData>
    <row r="1" spans="1:179" ht="13.8" x14ac:dyDescent="0.25">
      <c r="A1" s="787" t="s">
        <v>152</v>
      </c>
      <c r="B1" s="787"/>
      <c r="C1" s="787"/>
      <c r="D1" s="787"/>
      <c r="E1" s="787"/>
      <c r="F1" s="787"/>
      <c r="G1" s="787"/>
      <c r="H1" s="787"/>
      <c r="I1" s="787"/>
      <c r="J1" s="787"/>
      <c r="K1" s="787"/>
      <c r="L1" s="787"/>
      <c r="M1" s="787"/>
      <c r="N1" s="787"/>
      <c r="O1" s="787"/>
      <c r="P1" s="787"/>
      <c r="Q1" s="787"/>
      <c r="R1" s="787"/>
      <c r="S1" s="787"/>
      <c r="T1" s="787"/>
      <c r="U1" s="787"/>
      <c r="V1" s="787"/>
      <c r="W1" s="787"/>
      <c r="X1" s="787"/>
      <c r="Y1" s="787"/>
      <c r="Z1" s="787"/>
      <c r="AA1" s="787"/>
      <c r="AB1" s="787"/>
      <c r="AC1" s="787"/>
      <c r="AD1" s="787"/>
      <c r="AE1" s="787"/>
      <c r="AF1" s="787"/>
      <c r="AG1" s="787"/>
      <c r="AH1" s="787"/>
      <c r="AI1" s="787"/>
      <c r="AJ1" s="787"/>
    </row>
    <row r="2" spans="1:179" x14ac:dyDescent="0.2">
      <c r="A2" s="335"/>
      <c r="B2" s="336"/>
      <c r="C2" s="336"/>
      <c r="D2" s="336"/>
      <c r="E2" s="336"/>
      <c r="F2" s="336"/>
      <c r="G2" s="336"/>
      <c r="H2" s="336"/>
      <c r="I2" s="336"/>
      <c r="J2" s="337"/>
      <c r="K2" s="337"/>
      <c r="L2" s="338"/>
      <c r="M2" s="338"/>
      <c r="N2" s="338"/>
      <c r="O2" s="337"/>
      <c r="P2" s="339"/>
      <c r="Q2" s="337"/>
      <c r="R2" s="337"/>
      <c r="S2" s="340"/>
      <c r="T2" s="337"/>
      <c r="U2" s="337"/>
      <c r="V2" s="337"/>
      <c r="W2" s="337"/>
      <c r="X2" s="337"/>
      <c r="Y2" s="337"/>
      <c r="Z2" s="337"/>
      <c r="AA2" s="337"/>
      <c r="AB2" s="337"/>
      <c r="AC2" s="337"/>
      <c r="AD2" s="337"/>
      <c r="AE2" s="337"/>
      <c r="AF2" s="337"/>
      <c r="AG2" s="337"/>
      <c r="AH2" s="336"/>
      <c r="AI2" s="336"/>
      <c r="AJ2" s="336"/>
    </row>
    <row r="3" spans="1:179" ht="12" customHeight="1" x14ac:dyDescent="0.25">
      <c r="A3" s="790" t="s">
        <v>113</v>
      </c>
      <c r="B3" s="341"/>
      <c r="C3" s="342"/>
      <c r="D3" s="342"/>
      <c r="E3" s="341"/>
      <c r="F3" s="341"/>
      <c r="G3" s="342"/>
      <c r="H3" s="343"/>
      <c r="I3" s="343"/>
      <c r="J3" s="342"/>
      <c r="K3" s="344"/>
      <c r="L3" s="344"/>
      <c r="M3" s="344"/>
      <c r="N3" s="343"/>
      <c r="O3" s="345"/>
      <c r="P3" s="346"/>
      <c r="Q3" s="347"/>
      <c r="R3" s="347"/>
      <c r="S3" s="348"/>
      <c r="T3" s="347"/>
      <c r="U3" s="520" t="s">
        <v>112</v>
      </c>
      <c r="V3" s="522" t="s">
        <v>112</v>
      </c>
      <c r="W3" s="499" t="s">
        <v>112</v>
      </c>
      <c r="X3" s="432" t="s">
        <v>112</v>
      </c>
      <c r="Y3" s="432" t="s">
        <v>112</v>
      </c>
      <c r="Z3" s="431" t="s">
        <v>112</v>
      </c>
      <c r="AA3" s="431" t="s">
        <v>112</v>
      </c>
      <c r="AB3" s="431" t="s">
        <v>112</v>
      </c>
      <c r="AC3" s="431" t="s">
        <v>112</v>
      </c>
      <c r="AD3" s="431" t="s">
        <v>112</v>
      </c>
      <c r="AE3" s="431" t="s">
        <v>112</v>
      </c>
      <c r="AF3" s="433" t="s">
        <v>112</v>
      </c>
      <c r="AG3" s="788" t="s">
        <v>145</v>
      </c>
      <c r="AH3" s="794" t="s">
        <v>115</v>
      </c>
      <c r="AI3" s="788" t="s">
        <v>116</v>
      </c>
      <c r="AJ3" s="796" t="s">
        <v>142</v>
      </c>
    </row>
    <row r="4" spans="1:179" ht="12" x14ac:dyDescent="0.25">
      <c r="A4" s="791"/>
      <c r="B4" s="58" t="s">
        <v>82</v>
      </c>
      <c r="C4" s="59" t="s">
        <v>32</v>
      </c>
      <c r="D4" s="58" t="s">
        <v>38</v>
      </c>
      <c r="E4" s="59" t="s">
        <v>39</v>
      </c>
      <c r="F4" s="59" t="s">
        <v>40</v>
      </c>
      <c r="G4" s="58" t="s">
        <v>41</v>
      </c>
      <c r="H4" s="60" t="s">
        <v>42</v>
      </c>
      <c r="I4" s="61" t="s">
        <v>34</v>
      </c>
      <c r="J4" s="62" t="s">
        <v>35</v>
      </c>
      <c r="K4" s="62" t="s">
        <v>36</v>
      </c>
      <c r="L4" s="62" t="s">
        <v>37</v>
      </c>
      <c r="M4" s="62" t="s">
        <v>33</v>
      </c>
      <c r="N4" s="61" t="s">
        <v>43</v>
      </c>
      <c r="O4" s="237" t="s">
        <v>44</v>
      </c>
      <c r="P4" s="237" t="s">
        <v>47</v>
      </c>
      <c r="Q4" s="279" t="s">
        <v>50</v>
      </c>
      <c r="R4" s="279" t="s">
        <v>53</v>
      </c>
      <c r="S4" s="317" t="s">
        <v>54</v>
      </c>
      <c r="T4" s="325" t="s">
        <v>57</v>
      </c>
      <c r="U4" s="521" t="s">
        <v>58</v>
      </c>
      <c r="V4" s="523" t="s">
        <v>59</v>
      </c>
      <c r="W4" s="307" t="s">
        <v>60</v>
      </c>
      <c r="X4" s="63" t="s">
        <v>62</v>
      </c>
      <c r="Y4" s="63" t="s">
        <v>64</v>
      </c>
      <c r="Z4" s="6" t="s">
        <v>95</v>
      </c>
      <c r="AA4" s="6" t="s">
        <v>98</v>
      </c>
      <c r="AB4" s="6" t="s">
        <v>99</v>
      </c>
      <c r="AC4" s="6" t="s">
        <v>102</v>
      </c>
      <c r="AD4" s="6" t="s">
        <v>106</v>
      </c>
      <c r="AE4" s="6" t="s">
        <v>108</v>
      </c>
      <c r="AF4" s="64" t="s">
        <v>147</v>
      </c>
      <c r="AG4" s="789"/>
      <c r="AH4" s="795"/>
      <c r="AI4" s="789"/>
      <c r="AJ4" s="797"/>
    </row>
    <row r="5" spans="1:179" ht="12" x14ac:dyDescent="0.25">
      <c r="A5" s="493" t="s">
        <v>66</v>
      </c>
      <c r="B5" s="494"/>
      <c r="C5" s="494"/>
      <c r="D5" s="494"/>
      <c r="E5" s="494"/>
      <c r="F5" s="494"/>
      <c r="G5" s="494"/>
      <c r="H5" s="494"/>
      <c r="I5" s="494"/>
      <c r="J5" s="494"/>
      <c r="K5" s="494"/>
      <c r="L5" s="494"/>
      <c r="M5" s="494"/>
      <c r="N5" s="494"/>
      <c r="O5" s="494"/>
      <c r="P5" s="494"/>
      <c r="Q5" s="494"/>
      <c r="R5" s="494"/>
      <c r="S5" s="494"/>
      <c r="T5" s="494"/>
      <c r="U5" s="494"/>
      <c r="V5" s="494"/>
      <c r="W5" s="494"/>
      <c r="X5" s="494"/>
      <c r="Y5" s="494"/>
      <c r="Z5" s="494"/>
      <c r="AA5" s="494"/>
      <c r="AB5" s="494"/>
      <c r="AC5" s="494"/>
      <c r="AD5" s="494"/>
      <c r="AE5" s="494"/>
      <c r="AF5" s="494"/>
      <c r="AG5" s="494"/>
      <c r="AH5" s="494"/>
      <c r="AI5" s="494"/>
      <c r="AJ5" s="495"/>
    </row>
    <row r="6" spans="1:179" ht="12" x14ac:dyDescent="0.25">
      <c r="A6" s="496" t="s">
        <v>67</v>
      </c>
      <c r="B6" s="497"/>
      <c r="C6" s="497"/>
      <c r="D6" s="497"/>
      <c r="E6" s="497"/>
      <c r="F6" s="497"/>
      <c r="G6" s="497"/>
      <c r="H6" s="497"/>
      <c r="I6" s="497"/>
      <c r="J6" s="497"/>
      <c r="K6" s="497"/>
      <c r="L6" s="497"/>
      <c r="M6" s="497"/>
      <c r="N6" s="497"/>
      <c r="O6" s="497"/>
      <c r="P6" s="497"/>
      <c r="Q6" s="497"/>
      <c r="R6" s="497"/>
      <c r="S6" s="497"/>
      <c r="T6" s="497"/>
      <c r="U6" s="497"/>
      <c r="V6" s="497"/>
      <c r="W6" s="497"/>
      <c r="X6" s="497"/>
      <c r="Y6" s="497"/>
      <c r="Z6" s="497"/>
      <c r="AA6" s="497"/>
      <c r="AB6" s="497"/>
      <c r="AC6" s="497"/>
      <c r="AD6" s="497"/>
      <c r="AE6" s="497"/>
      <c r="AF6" s="497"/>
      <c r="AG6" s="497"/>
      <c r="AH6" s="497"/>
      <c r="AI6" s="497"/>
      <c r="AJ6" s="498"/>
    </row>
    <row r="7" spans="1:179" ht="12" x14ac:dyDescent="0.25">
      <c r="A7" s="490" t="s">
        <v>68</v>
      </c>
      <c r="B7" s="491"/>
      <c r="C7" s="491"/>
      <c r="D7" s="491"/>
      <c r="E7" s="491"/>
      <c r="F7" s="491"/>
      <c r="G7" s="491"/>
      <c r="H7" s="491"/>
      <c r="I7" s="491"/>
      <c r="J7" s="491"/>
      <c r="K7" s="491"/>
      <c r="L7" s="491"/>
      <c r="M7" s="491"/>
      <c r="N7" s="491"/>
      <c r="O7" s="491"/>
      <c r="P7" s="491"/>
      <c r="Q7" s="491"/>
      <c r="R7" s="491"/>
      <c r="S7" s="491"/>
      <c r="T7" s="491"/>
      <c r="U7" s="491"/>
      <c r="V7" s="491"/>
      <c r="W7" s="491"/>
      <c r="X7" s="491"/>
      <c r="Y7" s="491"/>
      <c r="Z7" s="491"/>
      <c r="AA7" s="491"/>
      <c r="AB7" s="491"/>
      <c r="AC7" s="491"/>
      <c r="AD7" s="491"/>
      <c r="AE7" s="491"/>
      <c r="AF7" s="491"/>
      <c r="AG7" s="491"/>
      <c r="AH7" s="491"/>
      <c r="AI7" s="491"/>
      <c r="AJ7" s="492"/>
    </row>
    <row r="8" spans="1:179" ht="12" x14ac:dyDescent="0.25">
      <c r="A8" s="349" t="s">
        <v>117</v>
      </c>
      <c r="B8" s="96"/>
      <c r="C8" s="96"/>
      <c r="D8" s="96"/>
      <c r="E8" s="96"/>
      <c r="F8" s="96"/>
      <c r="G8" s="96"/>
      <c r="H8" s="89"/>
      <c r="I8" s="89">
        <v>8</v>
      </c>
      <c r="J8" s="96">
        <v>9</v>
      </c>
      <c r="K8" s="96">
        <v>3</v>
      </c>
      <c r="L8" s="96">
        <v>7</v>
      </c>
      <c r="M8" s="96">
        <v>9</v>
      </c>
      <c r="N8" s="89">
        <v>11</v>
      </c>
      <c r="O8" s="238">
        <v>6</v>
      </c>
      <c r="P8" s="238">
        <v>10</v>
      </c>
      <c r="Q8" s="286">
        <v>10</v>
      </c>
      <c r="R8" s="286">
        <v>9</v>
      </c>
      <c r="S8" s="310">
        <v>6</v>
      </c>
      <c r="T8" s="286">
        <v>7</v>
      </c>
      <c r="U8" s="501">
        <v>6</v>
      </c>
      <c r="V8" s="510">
        <v>11</v>
      </c>
      <c r="W8" s="253">
        <v>10</v>
      </c>
      <c r="X8" s="89">
        <v>7</v>
      </c>
      <c r="Y8" s="89">
        <v>0</v>
      </c>
      <c r="Z8" s="485"/>
      <c r="AA8" s="544"/>
      <c r="AB8" s="545"/>
      <c r="AC8" s="545"/>
      <c r="AD8" s="545"/>
      <c r="AE8" s="545"/>
      <c r="AF8" s="546"/>
      <c r="AG8" s="500" t="str">
        <f>IF(AF8=0," ",IF(AJ8&gt;20,(AF8-AE8)/AE8," "))</f>
        <v xml:space="preserve"> </v>
      </c>
      <c r="AH8" s="305" t="str">
        <f>IF(AF8=0," ",IF(AJ8&gt;20,(AF8-AA8)/AA8," "))</f>
        <v xml:space="preserve"> </v>
      </c>
      <c r="AI8" s="306" t="str">
        <f>IF(AF8=0," ",(IF(AJ8&gt;20,(AF8-V8)/V8," ")))</f>
        <v xml:space="preserve"> </v>
      </c>
      <c r="AJ8" s="223" t="str">
        <f>IF(AD8&gt;0,AVERAGE(AD8:AF8),"  ")</f>
        <v xml:space="preserve">  </v>
      </c>
      <c r="AK8" s="594" t="s">
        <v>107</v>
      </c>
    </row>
    <row r="9" spans="1:179" ht="14.4" x14ac:dyDescent="0.3">
      <c r="A9" s="350" t="s">
        <v>10</v>
      </c>
      <c r="B9" s="71"/>
      <c r="C9" s="71"/>
      <c r="D9" s="71"/>
      <c r="E9" s="71"/>
      <c r="F9" s="71"/>
      <c r="G9" s="71"/>
      <c r="H9" s="5"/>
      <c r="I9" s="5"/>
      <c r="J9" s="71">
        <v>19</v>
      </c>
      <c r="K9" s="71">
        <v>18</v>
      </c>
      <c r="L9" s="71">
        <v>33</v>
      </c>
      <c r="M9" s="71">
        <v>43</v>
      </c>
      <c r="N9" s="5">
        <v>45</v>
      </c>
      <c r="O9" s="239">
        <v>68</v>
      </c>
      <c r="P9" s="239">
        <v>49</v>
      </c>
      <c r="Q9" s="280">
        <v>81</v>
      </c>
      <c r="R9" s="280">
        <v>90</v>
      </c>
      <c r="S9" s="311">
        <v>102</v>
      </c>
      <c r="T9" s="280">
        <v>110</v>
      </c>
      <c r="U9" s="502">
        <f>143+1</f>
        <v>144</v>
      </c>
      <c r="V9" s="511">
        <v>139</v>
      </c>
      <c r="W9" s="249">
        <v>128</v>
      </c>
      <c r="X9" s="5">
        <v>171</v>
      </c>
      <c r="Y9" s="5">
        <v>147</v>
      </c>
      <c r="Z9" s="72">
        <v>126</v>
      </c>
      <c r="AA9" s="72">
        <v>134</v>
      </c>
      <c r="AB9" s="72">
        <v>111</v>
      </c>
      <c r="AC9" s="72">
        <v>145</v>
      </c>
      <c r="AD9" s="72">
        <v>114</v>
      </c>
      <c r="AE9" s="72">
        <v>93</v>
      </c>
      <c r="AF9" s="73">
        <v>83</v>
      </c>
      <c r="AG9" s="593">
        <f t="shared" ref="AG9:AG15" si="0">IF(AF9=0," ",IF(AJ9&gt;20,(AF9-AE9)/AE9," "))</f>
        <v>-0.10752688172043011</v>
      </c>
      <c r="AH9" s="206">
        <f t="shared" ref="AH9:AH15" si="1">IF(AF9=0," ",IF(AJ9&gt;20,(AF9-AA9)/AA9," "))</f>
        <v>-0.38059701492537312</v>
      </c>
      <c r="AI9" s="207">
        <f t="shared" ref="AI9:AI15" si="2">IF(AF9=0," ",(IF(AJ9&gt;20,(AF9-V9)/V9," ")))</f>
        <v>-0.40287769784172661</v>
      </c>
      <c r="AJ9" s="120">
        <f t="shared" ref="AJ9:AJ15" si="3">IF(AD9&gt;0,AVERAGE(AD9:AF9),"  ")</f>
        <v>96.666666666666671</v>
      </c>
      <c r="AK9" s="595">
        <f>RANK(AF9,$AF$9:$AF$61)</f>
        <v>4</v>
      </c>
    </row>
    <row r="10" spans="1:179" ht="13.2" x14ac:dyDescent="0.25">
      <c r="A10" s="350" t="s">
        <v>119</v>
      </c>
      <c r="B10" s="71"/>
      <c r="C10" s="71"/>
      <c r="D10" s="71"/>
      <c r="E10" s="71"/>
      <c r="F10" s="71"/>
      <c r="G10" s="71"/>
      <c r="H10" s="5"/>
      <c r="I10" s="5"/>
      <c r="J10" s="71"/>
      <c r="K10" s="71"/>
      <c r="L10" s="71"/>
      <c r="M10" s="71"/>
      <c r="N10" s="5"/>
      <c r="O10" s="239"/>
      <c r="P10" s="239"/>
      <c r="Q10" s="280"/>
      <c r="R10" s="280"/>
      <c r="S10" s="311"/>
      <c r="T10" s="280"/>
      <c r="U10" s="484"/>
      <c r="V10" s="547"/>
      <c r="W10" s="549"/>
      <c r="X10" s="549"/>
      <c r="Y10" s="549"/>
      <c r="Z10" s="549"/>
      <c r="AA10" s="549"/>
      <c r="AB10" s="549"/>
      <c r="AC10" s="549"/>
      <c r="AD10" s="548"/>
      <c r="AE10" s="5">
        <v>15</v>
      </c>
      <c r="AF10" s="73">
        <v>35</v>
      </c>
      <c r="AG10" s="205">
        <f t="shared" si="0"/>
        <v>1.3333333333333333</v>
      </c>
      <c r="AH10" s="206"/>
      <c r="AI10" s="207"/>
      <c r="AJ10" s="120" t="str">
        <f t="shared" si="3"/>
        <v xml:space="preserve">  </v>
      </c>
      <c r="AK10" s="331">
        <f t="shared" ref="AK10:AK61" si="4">RANK(AF10,$AF$9:$AF$61)</f>
        <v>14</v>
      </c>
    </row>
    <row r="11" spans="1:179" ht="13.2" x14ac:dyDescent="0.25">
      <c r="A11" s="351" t="s">
        <v>63</v>
      </c>
      <c r="B11" s="74">
        <v>11</v>
      </c>
      <c r="C11" s="74">
        <v>15</v>
      </c>
      <c r="D11" s="74">
        <v>6</v>
      </c>
      <c r="E11" s="74">
        <v>9</v>
      </c>
      <c r="F11" s="74">
        <v>11</v>
      </c>
      <c r="G11" s="74">
        <v>9</v>
      </c>
      <c r="H11" s="7">
        <v>5</v>
      </c>
      <c r="I11" s="7">
        <v>10</v>
      </c>
      <c r="J11" s="74">
        <v>7</v>
      </c>
      <c r="K11" s="74">
        <v>7</v>
      </c>
      <c r="L11" s="74">
        <v>8</v>
      </c>
      <c r="M11" s="74">
        <v>6</v>
      </c>
      <c r="N11" s="7">
        <v>9</v>
      </c>
      <c r="O11" s="240">
        <v>9</v>
      </c>
      <c r="P11" s="240">
        <v>12</v>
      </c>
      <c r="Q11" s="281">
        <v>10</v>
      </c>
      <c r="R11" s="281">
        <v>10</v>
      </c>
      <c r="S11" s="312">
        <v>12</v>
      </c>
      <c r="T11" s="281">
        <v>15</v>
      </c>
      <c r="U11" s="503">
        <v>9</v>
      </c>
      <c r="V11" s="512">
        <v>12</v>
      </c>
      <c r="W11" s="250">
        <v>15</v>
      </c>
      <c r="X11" s="7">
        <v>11</v>
      </c>
      <c r="Y11" s="7">
        <v>15</v>
      </c>
      <c r="Z11" s="75">
        <v>13</v>
      </c>
      <c r="AA11" s="75">
        <v>16</v>
      </c>
      <c r="AB11" s="75">
        <v>14</v>
      </c>
      <c r="AC11" s="75">
        <v>11</v>
      </c>
      <c r="AD11" s="75">
        <v>13</v>
      </c>
      <c r="AE11" s="75">
        <v>9</v>
      </c>
      <c r="AF11" s="76">
        <v>10</v>
      </c>
      <c r="AG11" s="208" t="str">
        <f t="shared" si="0"/>
        <v xml:space="preserve"> </v>
      </c>
      <c r="AH11" s="209" t="str">
        <f t="shared" si="1"/>
        <v xml:space="preserve"> </v>
      </c>
      <c r="AI11" s="210" t="str">
        <f t="shared" si="2"/>
        <v xml:space="preserve"> </v>
      </c>
      <c r="AJ11" s="222">
        <f t="shared" si="3"/>
        <v>10.666666666666666</v>
      </c>
      <c r="AK11" s="331">
        <f t="shared" si="4"/>
        <v>32</v>
      </c>
    </row>
    <row r="12" spans="1:179" ht="13.2" x14ac:dyDescent="0.25">
      <c r="A12" s="350" t="s">
        <v>118</v>
      </c>
      <c r="B12" s="71"/>
      <c r="C12" s="71"/>
      <c r="D12" s="71"/>
      <c r="E12" s="71"/>
      <c r="F12" s="71"/>
      <c r="G12" s="71"/>
      <c r="H12" s="5"/>
      <c r="I12" s="5"/>
      <c r="J12" s="71"/>
      <c r="K12" s="71"/>
      <c r="L12" s="71"/>
      <c r="M12" s="71">
        <v>0</v>
      </c>
      <c r="N12" s="5"/>
      <c r="O12" s="239"/>
      <c r="P12" s="239"/>
      <c r="Q12" s="280"/>
      <c r="R12" s="280">
        <v>0</v>
      </c>
      <c r="S12" s="311">
        <v>0</v>
      </c>
      <c r="T12" s="280">
        <v>0</v>
      </c>
      <c r="U12" s="484"/>
      <c r="V12" s="511">
        <v>1</v>
      </c>
      <c r="W12" s="249">
        <v>15</v>
      </c>
      <c r="X12" s="5">
        <v>22</v>
      </c>
      <c r="Y12" s="5">
        <v>34</v>
      </c>
      <c r="Z12" s="72">
        <v>23</v>
      </c>
      <c r="AA12" s="72">
        <v>56</v>
      </c>
      <c r="AB12" s="72">
        <v>42</v>
      </c>
      <c r="AC12" s="72">
        <v>38</v>
      </c>
      <c r="AD12" s="72">
        <v>21</v>
      </c>
      <c r="AE12" s="72">
        <v>29</v>
      </c>
      <c r="AF12" s="73">
        <v>6</v>
      </c>
      <c r="AG12" s="205" t="str">
        <f t="shared" si="0"/>
        <v xml:space="preserve"> </v>
      </c>
      <c r="AH12" s="206" t="str">
        <f t="shared" si="1"/>
        <v xml:space="preserve"> </v>
      </c>
      <c r="AI12" s="207" t="str">
        <f t="shared" si="2"/>
        <v xml:space="preserve"> </v>
      </c>
      <c r="AJ12" s="120">
        <f t="shared" si="3"/>
        <v>18.666666666666668</v>
      </c>
      <c r="AK12" s="331">
        <f t="shared" si="4"/>
        <v>40</v>
      </c>
    </row>
    <row r="13" spans="1:179" ht="13.2" x14ac:dyDescent="0.25">
      <c r="A13" s="351" t="s">
        <v>25</v>
      </c>
      <c r="B13" s="74">
        <v>14</v>
      </c>
      <c r="C13" s="74">
        <v>21</v>
      </c>
      <c r="D13" s="74">
        <v>19</v>
      </c>
      <c r="E13" s="74">
        <v>18</v>
      </c>
      <c r="F13" s="74">
        <v>17</v>
      </c>
      <c r="G13" s="74">
        <v>14</v>
      </c>
      <c r="H13" s="7">
        <v>7</v>
      </c>
      <c r="I13" s="7">
        <v>11</v>
      </c>
      <c r="J13" s="74">
        <v>7</v>
      </c>
      <c r="K13" s="74">
        <v>11</v>
      </c>
      <c r="L13" s="74">
        <v>10</v>
      </c>
      <c r="M13" s="74">
        <v>15</v>
      </c>
      <c r="N13" s="7">
        <v>24</v>
      </c>
      <c r="O13" s="240">
        <v>23</v>
      </c>
      <c r="P13" s="240">
        <v>27</v>
      </c>
      <c r="Q13" s="281">
        <v>23</v>
      </c>
      <c r="R13" s="281">
        <f>35+1</f>
        <v>36</v>
      </c>
      <c r="S13" s="312">
        <v>23</v>
      </c>
      <c r="T13" s="281">
        <v>31</v>
      </c>
      <c r="U13" s="503">
        <v>37</v>
      </c>
      <c r="V13" s="512">
        <v>37</v>
      </c>
      <c r="W13" s="250">
        <v>36</v>
      </c>
      <c r="X13" s="7">
        <v>29</v>
      </c>
      <c r="Y13" s="7">
        <v>27</v>
      </c>
      <c r="Z13" s="75">
        <v>20</v>
      </c>
      <c r="AA13" s="75">
        <v>22</v>
      </c>
      <c r="AB13" s="75">
        <v>23</v>
      </c>
      <c r="AC13" s="75">
        <v>30</v>
      </c>
      <c r="AD13" s="75">
        <v>30</v>
      </c>
      <c r="AE13" s="75">
        <v>20</v>
      </c>
      <c r="AF13" s="76">
        <v>16</v>
      </c>
      <c r="AG13" s="208">
        <f t="shared" si="0"/>
        <v>-0.2</v>
      </c>
      <c r="AH13" s="209">
        <f t="shared" si="1"/>
        <v>-0.27272727272727271</v>
      </c>
      <c r="AI13" s="210">
        <f t="shared" si="2"/>
        <v>-0.56756756756756754</v>
      </c>
      <c r="AJ13" s="222">
        <f t="shared" si="3"/>
        <v>22</v>
      </c>
      <c r="AK13" s="331">
        <f t="shared" si="4"/>
        <v>24</v>
      </c>
    </row>
    <row r="14" spans="1:179" s="319" customFormat="1" ht="14.4" x14ac:dyDescent="0.3">
      <c r="A14" s="353" t="s">
        <v>120</v>
      </c>
      <c r="B14" s="113">
        <v>61</v>
      </c>
      <c r="C14" s="113">
        <v>76</v>
      </c>
      <c r="D14" s="113">
        <v>55</v>
      </c>
      <c r="E14" s="113">
        <v>49</v>
      </c>
      <c r="F14" s="113">
        <v>48</v>
      </c>
      <c r="G14" s="113">
        <v>37</v>
      </c>
      <c r="H14" s="114">
        <v>55</v>
      </c>
      <c r="I14" s="114">
        <v>54</v>
      </c>
      <c r="J14" s="113">
        <v>56</v>
      </c>
      <c r="K14" s="113">
        <v>80</v>
      </c>
      <c r="L14" s="113">
        <v>78</v>
      </c>
      <c r="M14" s="113">
        <v>84</v>
      </c>
      <c r="N14" s="114">
        <v>68</v>
      </c>
      <c r="O14" s="242">
        <v>76</v>
      </c>
      <c r="P14" s="242">
        <v>83</v>
      </c>
      <c r="Q14" s="283">
        <v>70</v>
      </c>
      <c r="R14" s="283">
        <v>84</v>
      </c>
      <c r="S14" s="313">
        <v>87</v>
      </c>
      <c r="T14" s="283">
        <v>93</v>
      </c>
      <c r="U14" s="505">
        <v>86</v>
      </c>
      <c r="V14" s="513">
        <v>94</v>
      </c>
      <c r="W14" s="251">
        <v>90</v>
      </c>
      <c r="X14" s="114">
        <v>97</v>
      </c>
      <c r="Y14" s="114">
        <v>87</v>
      </c>
      <c r="Z14" s="113">
        <v>89</v>
      </c>
      <c r="AA14" s="113">
        <v>89</v>
      </c>
      <c r="AB14" s="113">
        <v>83</v>
      </c>
      <c r="AC14" s="113">
        <v>99</v>
      </c>
      <c r="AD14" s="113">
        <v>93</v>
      </c>
      <c r="AE14" s="113">
        <v>85</v>
      </c>
      <c r="AF14" s="77">
        <v>80</v>
      </c>
      <c r="AG14" s="218">
        <f t="shared" si="0"/>
        <v>-5.8823529411764705E-2</v>
      </c>
      <c r="AH14" s="218">
        <f t="shared" si="1"/>
        <v>-0.10112359550561797</v>
      </c>
      <c r="AI14" s="219">
        <f t="shared" si="2"/>
        <v>-0.14893617021276595</v>
      </c>
      <c r="AJ14" s="121">
        <f t="shared" si="3"/>
        <v>86</v>
      </c>
      <c r="AK14" s="595">
        <f t="shared" si="4"/>
        <v>5</v>
      </c>
      <c r="AS14" s="334"/>
      <c r="AT14" s="334"/>
      <c r="AU14" s="334"/>
      <c r="AV14" s="334"/>
      <c r="AW14" s="334"/>
      <c r="AX14" s="334"/>
      <c r="AY14" s="334"/>
      <c r="AZ14" s="334"/>
      <c r="BA14" s="334"/>
      <c r="BB14" s="334"/>
      <c r="BC14" s="334"/>
      <c r="BD14" s="334"/>
      <c r="BE14" s="334"/>
      <c r="BF14" s="334"/>
      <c r="BG14" s="334"/>
      <c r="BH14" s="334"/>
      <c r="BI14" s="334"/>
      <c r="BJ14" s="334"/>
      <c r="BK14" s="334"/>
      <c r="BL14" s="334"/>
      <c r="BM14" s="334"/>
      <c r="BN14" s="334"/>
      <c r="BO14" s="334"/>
      <c r="BP14" s="334"/>
      <c r="BQ14" s="334"/>
      <c r="BR14" s="334"/>
      <c r="BS14" s="334"/>
      <c r="BT14" s="334"/>
      <c r="BU14" s="334"/>
      <c r="BV14" s="334"/>
      <c r="BW14" s="334"/>
      <c r="BX14" s="334"/>
      <c r="BY14" s="334"/>
      <c r="BZ14" s="334"/>
      <c r="CA14" s="334"/>
      <c r="CB14" s="334"/>
      <c r="CC14" s="334"/>
      <c r="CD14" s="334"/>
      <c r="CE14" s="334"/>
      <c r="CF14" s="334"/>
      <c r="CG14" s="334"/>
      <c r="CH14" s="334"/>
      <c r="CI14" s="334"/>
      <c r="CJ14" s="334"/>
      <c r="CK14" s="334"/>
      <c r="CL14" s="334"/>
      <c r="CM14" s="334"/>
      <c r="CN14" s="334"/>
      <c r="CO14" s="334"/>
      <c r="CP14" s="334"/>
      <c r="CQ14" s="334"/>
      <c r="CR14" s="334"/>
      <c r="CS14" s="334"/>
      <c r="CT14" s="334"/>
      <c r="CU14" s="334"/>
      <c r="CV14" s="334"/>
      <c r="CW14" s="334"/>
      <c r="CX14" s="334"/>
      <c r="CY14" s="334"/>
      <c r="CZ14" s="334"/>
      <c r="DA14" s="334"/>
      <c r="DB14" s="334"/>
      <c r="DC14" s="334"/>
      <c r="DD14" s="334"/>
      <c r="DE14" s="334"/>
      <c r="DF14" s="334"/>
      <c r="DG14" s="334"/>
      <c r="DH14" s="334"/>
      <c r="DI14" s="334"/>
      <c r="DJ14" s="334"/>
      <c r="DK14" s="334"/>
      <c r="DL14" s="334"/>
      <c r="DM14" s="334"/>
      <c r="DN14" s="334"/>
      <c r="DO14" s="334"/>
      <c r="DP14" s="334"/>
      <c r="DQ14" s="334"/>
      <c r="DR14" s="334"/>
      <c r="DS14" s="334"/>
      <c r="DT14" s="334"/>
      <c r="DU14" s="334"/>
      <c r="DV14" s="334"/>
      <c r="DW14" s="334"/>
      <c r="DX14" s="334"/>
      <c r="DY14" s="334"/>
      <c r="DZ14" s="334"/>
      <c r="EA14" s="334"/>
      <c r="EB14" s="334"/>
      <c r="EC14" s="334"/>
      <c r="ED14" s="334"/>
      <c r="EE14" s="334"/>
      <c r="EF14" s="334"/>
      <c r="EG14" s="334"/>
      <c r="EH14" s="334"/>
      <c r="EI14" s="334"/>
      <c r="EJ14" s="334"/>
      <c r="EK14" s="334"/>
      <c r="EL14" s="334"/>
      <c r="EM14" s="334"/>
      <c r="EN14" s="334"/>
      <c r="EO14" s="334"/>
      <c r="EP14" s="334"/>
      <c r="EQ14" s="334"/>
      <c r="ER14" s="334"/>
      <c r="ES14" s="334"/>
      <c r="ET14" s="334"/>
      <c r="EU14" s="334"/>
      <c r="EV14" s="334"/>
      <c r="EW14" s="334"/>
      <c r="EX14" s="334"/>
      <c r="EY14" s="334"/>
      <c r="EZ14" s="334"/>
      <c r="FA14" s="334"/>
      <c r="FB14" s="334"/>
      <c r="FC14" s="334"/>
      <c r="FD14" s="334"/>
      <c r="FE14" s="334"/>
      <c r="FF14" s="334"/>
      <c r="FG14" s="334"/>
      <c r="FH14" s="334"/>
      <c r="FI14" s="334"/>
      <c r="FJ14" s="334"/>
      <c r="FK14" s="334"/>
      <c r="FL14" s="334"/>
      <c r="FM14" s="334"/>
      <c r="FN14" s="334"/>
      <c r="FO14" s="334"/>
      <c r="FP14" s="334"/>
      <c r="FQ14" s="334"/>
      <c r="FR14" s="334"/>
      <c r="FS14" s="334"/>
      <c r="FT14" s="334"/>
      <c r="FU14" s="334"/>
      <c r="FV14" s="334"/>
      <c r="FW14" s="334"/>
    </row>
    <row r="15" spans="1:179" s="319" customFormat="1" ht="14.4" x14ac:dyDescent="0.3">
      <c r="A15" s="354" t="s">
        <v>121</v>
      </c>
      <c r="B15" s="115">
        <v>59</v>
      </c>
      <c r="C15" s="115">
        <v>62</v>
      </c>
      <c r="D15" s="115">
        <v>72</v>
      </c>
      <c r="E15" s="115">
        <v>74</v>
      </c>
      <c r="F15" s="115">
        <v>67</v>
      </c>
      <c r="G15" s="115">
        <v>54</v>
      </c>
      <c r="H15" s="116">
        <v>74</v>
      </c>
      <c r="I15" s="116">
        <v>46</v>
      </c>
      <c r="J15" s="115">
        <v>59</v>
      </c>
      <c r="K15" s="115">
        <v>55</v>
      </c>
      <c r="L15" s="115">
        <v>61</v>
      </c>
      <c r="M15" s="115">
        <v>59</v>
      </c>
      <c r="N15" s="116">
        <v>56</v>
      </c>
      <c r="O15" s="243">
        <v>63</v>
      </c>
      <c r="P15" s="243">
        <v>61</v>
      </c>
      <c r="Q15" s="284">
        <v>61</v>
      </c>
      <c r="R15" s="284">
        <v>74</v>
      </c>
      <c r="S15" s="314">
        <f>91+2</f>
        <v>93</v>
      </c>
      <c r="T15" s="284">
        <v>74</v>
      </c>
      <c r="U15" s="506">
        <v>91</v>
      </c>
      <c r="V15" s="514">
        <v>82</v>
      </c>
      <c r="W15" s="252">
        <v>133</v>
      </c>
      <c r="X15" s="116">
        <v>133</v>
      </c>
      <c r="Y15" s="116">
        <v>113</v>
      </c>
      <c r="Z15" s="115">
        <v>130</v>
      </c>
      <c r="AA15" s="115">
        <v>137</v>
      </c>
      <c r="AB15" s="115">
        <v>127</v>
      </c>
      <c r="AC15" s="115">
        <v>103</v>
      </c>
      <c r="AD15" s="115">
        <v>101</v>
      </c>
      <c r="AE15" s="115">
        <v>99</v>
      </c>
      <c r="AF15" s="78">
        <v>94</v>
      </c>
      <c r="AG15" s="216">
        <f t="shared" si="0"/>
        <v>-5.0505050505050504E-2</v>
      </c>
      <c r="AH15" s="216">
        <f t="shared" si="1"/>
        <v>-0.31386861313868614</v>
      </c>
      <c r="AI15" s="217">
        <f t="shared" si="2"/>
        <v>0.14634146341463414</v>
      </c>
      <c r="AJ15" s="119">
        <f t="shared" si="3"/>
        <v>98</v>
      </c>
      <c r="AK15" s="595">
        <f t="shared" si="4"/>
        <v>2</v>
      </c>
      <c r="AS15" s="334"/>
      <c r="AT15" s="334"/>
      <c r="AU15" s="334"/>
      <c r="AV15" s="334"/>
      <c r="AW15" s="334"/>
      <c r="AX15" s="334"/>
      <c r="AY15" s="334"/>
      <c r="AZ15" s="334"/>
      <c r="BA15" s="334"/>
      <c r="BB15" s="334"/>
      <c r="BC15" s="334"/>
      <c r="BD15" s="334"/>
      <c r="BE15" s="334"/>
      <c r="BF15" s="334"/>
      <c r="BG15" s="334"/>
      <c r="BH15" s="334"/>
      <c r="BI15" s="334"/>
      <c r="BJ15" s="334"/>
      <c r="BK15" s="334"/>
      <c r="BL15" s="334"/>
      <c r="BM15" s="334"/>
      <c r="BN15" s="334"/>
      <c r="BO15" s="334"/>
      <c r="BP15" s="334"/>
      <c r="BQ15" s="334"/>
      <c r="BR15" s="334"/>
      <c r="BS15" s="334"/>
      <c r="BT15" s="334"/>
      <c r="BU15" s="334"/>
      <c r="BV15" s="334"/>
      <c r="BW15" s="334"/>
      <c r="BX15" s="334"/>
      <c r="BY15" s="334"/>
      <c r="BZ15" s="334"/>
      <c r="CA15" s="334"/>
      <c r="CB15" s="334"/>
      <c r="CC15" s="334"/>
      <c r="CD15" s="334"/>
      <c r="CE15" s="334"/>
      <c r="CF15" s="334"/>
      <c r="CG15" s="334"/>
      <c r="CH15" s="334"/>
      <c r="CI15" s="334"/>
      <c r="CJ15" s="334"/>
      <c r="CK15" s="334"/>
      <c r="CL15" s="334"/>
      <c r="CM15" s="334"/>
      <c r="CN15" s="334"/>
      <c r="CO15" s="334"/>
      <c r="CP15" s="334"/>
      <c r="CQ15" s="334"/>
      <c r="CR15" s="334"/>
      <c r="CS15" s="334"/>
      <c r="CT15" s="334"/>
      <c r="CU15" s="334"/>
      <c r="CV15" s="334"/>
      <c r="CW15" s="334"/>
      <c r="CX15" s="334"/>
      <c r="CY15" s="334"/>
      <c r="CZ15" s="334"/>
      <c r="DA15" s="334"/>
      <c r="DB15" s="334"/>
      <c r="DC15" s="334"/>
      <c r="DD15" s="334"/>
      <c r="DE15" s="334"/>
      <c r="DF15" s="334"/>
      <c r="DG15" s="334"/>
      <c r="DH15" s="334"/>
      <c r="DI15" s="334"/>
      <c r="DJ15" s="334"/>
      <c r="DK15" s="334"/>
      <c r="DL15" s="334"/>
      <c r="DM15" s="334"/>
      <c r="DN15" s="334"/>
      <c r="DO15" s="334"/>
      <c r="DP15" s="334"/>
      <c r="DQ15" s="334"/>
      <c r="DR15" s="334"/>
      <c r="DS15" s="334"/>
      <c r="DT15" s="334"/>
      <c r="DU15" s="334"/>
      <c r="DV15" s="334"/>
      <c r="DW15" s="334"/>
      <c r="DX15" s="334"/>
      <c r="DY15" s="334"/>
      <c r="DZ15" s="334"/>
      <c r="EA15" s="334"/>
      <c r="EB15" s="334"/>
      <c r="EC15" s="334"/>
      <c r="ED15" s="334"/>
      <c r="EE15" s="334"/>
      <c r="EF15" s="334"/>
      <c r="EG15" s="334"/>
      <c r="EH15" s="334"/>
      <c r="EI15" s="334"/>
      <c r="EJ15" s="334"/>
      <c r="EK15" s="334"/>
      <c r="EL15" s="334"/>
      <c r="EM15" s="334"/>
      <c r="EN15" s="334"/>
      <c r="EO15" s="334"/>
      <c r="EP15" s="334"/>
      <c r="EQ15" s="334"/>
      <c r="ER15" s="334"/>
      <c r="ES15" s="334"/>
      <c r="ET15" s="334"/>
      <c r="EU15" s="334"/>
      <c r="EV15" s="334"/>
      <c r="EW15" s="334"/>
      <c r="EX15" s="334"/>
      <c r="EY15" s="334"/>
      <c r="EZ15" s="334"/>
      <c r="FA15" s="334"/>
      <c r="FB15" s="334"/>
      <c r="FC15" s="334"/>
      <c r="FD15" s="334"/>
      <c r="FE15" s="334"/>
      <c r="FF15" s="334"/>
      <c r="FG15" s="334"/>
      <c r="FH15" s="334"/>
      <c r="FI15" s="334"/>
      <c r="FJ15" s="334"/>
      <c r="FK15" s="334"/>
      <c r="FL15" s="334"/>
      <c r="FM15" s="334"/>
      <c r="FN15" s="334"/>
      <c r="FO15" s="334"/>
      <c r="FP15" s="334"/>
      <c r="FQ15" s="334"/>
      <c r="FR15" s="334"/>
      <c r="FS15" s="334"/>
      <c r="FT15" s="334"/>
      <c r="FU15" s="334"/>
      <c r="FV15" s="334"/>
      <c r="FW15" s="334"/>
    </row>
    <row r="16" spans="1:179" s="319" customFormat="1" ht="14.4" x14ac:dyDescent="0.3">
      <c r="A16" s="471" t="s">
        <v>1</v>
      </c>
      <c r="B16" s="96">
        <v>27</v>
      </c>
      <c r="C16" s="96">
        <v>18</v>
      </c>
      <c r="D16" s="96">
        <v>28</v>
      </c>
      <c r="E16" s="96">
        <v>21</v>
      </c>
      <c r="F16" s="96">
        <v>17</v>
      </c>
      <c r="G16" s="96">
        <v>23</v>
      </c>
      <c r="H16" s="89">
        <v>27</v>
      </c>
      <c r="I16" s="89">
        <v>31</v>
      </c>
      <c r="J16" s="96">
        <v>37</v>
      </c>
      <c r="K16" s="96">
        <v>41</v>
      </c>
      <c r="L16" s="96">
        <v>27</v>
      </c>
      <c r="M16" s="96">
        <v>32</v>
      </c>
      <c r="N16" s="89">
        <v>18</v>
      </c>
      <c r="O16" s="238">
        <v>21</v>
      </c>
      <c r="P16" s="238">
        <v>16</v>
      </c>
      <c r="Q16" s="286">
        <v>10</v>
      </c>
      <c r="R16" s="286">
        <v>17</v>
      </c>
      <c r="S16" s="310">
        <v>17</v>
      </c>
      <c r="T16" s="286">
        <v>12</v>
      </c>
      <c r="U16" s="501">
        <v>7</v>
      </c>
      <c r="V16" s="510">
        <v>11</v>
      </c>
      <c r="W16" s="253">
        <v>6</v>
      </c>
      <c r="X16" s="89">
        <v>9</v>
      </c>
      <c r="Y16" s="89">
        <v>13</v>
      </c>
      <c r="Z16" s="88">
        <v>7</v>
      </c>
      <c r="AA16" s="88">
        <v>2</v>
      </c>
      <c r="AB16" s="88">
        <v>6</v>
      </c>
      <c r="AC16" s="88">
        <v>5</v>
      </c>
      <c r="AD16" s="88">
        <v>4</v>
      </c>
      <c r="AE16" s="88">
        <v>2</v>
      </c>
      <c r="AF16" s="97">
        <v>3</v>
      </c>
      <c r="AG16" s="304" t="str">
        <f t="shared" ref="AG16:AG35" si="5">IF(AF16=0," ",IF(AJ16&gt;20,(AF16-AE16)/AE16," "))</f>
        <v xml:space="preserve"> </v>
      </c>
      <c r="AH16" s="305" t="str">
        <f t="shared" ref="AH16:AH35" si="6">IF(AF16=0," ",IF(AJ16&gt;20,(AF16-AA16)/AA16," "))</f>
        <v xml:space="preserve"> </v>
      </c>
      <c r="AI16" s="306" t="str">
        <f t="shared" ref="AI16:AI35" si="7">IF(AF16=0," ",(IF(AJ16&gt;20,(AF16-V16)/V16," ")))</f>
        <v xml:space="preserve"> </v>
      </c>
      <c r="AJ16" s="223">
        <f t="shared" ref="AJ16:AJ35" si="8">IF(AD16&gt;0,AVERAGE(AD16:AF16),"  ")</f>
        <v>3</v>
      </c>
      <c r="AK16" s="320">
        <f t="shared" si="4"/>
        <v>47</v>
      </c>
      <c r="AS16" s="334"/>
      <c r="AT16" s="334"/>
      <c r="AU16" s="334"/>
      <c r="AV16" s="334"/>
      <c r="AW16" s="334"/>
      <c r="AX16" s="334"/>
      <c r="AY16" s="334"/>
      <c r="AZ16" s="334"/>
      <c r="BA16" s="334"/>
      <c r="BB16" s="334"/>
      <c r="BC16" s="334"/>
      <c r="BD16" s="334"/>
      <c r="BE16" s="334"/>
      <c r="BF16" s="334"/>
      <c r="BG16" s="334"/>
      <c r="BH16" s="334"/>
      <c r="BI16" s="334"/>
      <c r="BJ16" s="334"/>
      <c r="BK16" s="334"/>
      <c r="BL16" s="334"/>
      <c r="BM16" s="334"/>
      <c r="BN16" s="334"/>
      <c r="BO16" s="334"/>
      <c r="BP16" s="334"/>
      <c r="BQ16" s="334"/>
      <c r="BR16" s="334"/>
      <c r="BS16" s="334"/>
      <c r="BT16" s="334"/>
      <c r="BU16" s="334"/>
      <c r="BV16" s="334"/>
      <c r="BW16" s="334"/>
      <c r="BX16" s="334"/>
      <c r="BY16" s="334"/>
      <c r="BZ16" s="334"/>
      <c r="CA16" s="334"/>
      <c r="CB16" s="334"/>
      <c r="CC16" s="334"/>
      <c r="CD16" s="334"/>
      <c r="CE16" s="334"/>
      <c r="CF16" s="334"/>
      <c r="CG16" s="334"/>
      <c r="CH16" s="334"/>
      <c r="CI16" s="334"/>
      <c r="CJ16" s="334"/>
      <c r="CK16" s="334"/>
      <c r="CL16" s="334"/>
      <c r="CM16" s="334"/>
      <c r="CN16" s="334"/>
      <c r="CO16" s="334"/>
      <c r="CP16" s="334"/>
      <c r="CQ16" s="334"/>
      <c r="CR16" s="334"/>
      <c r="CS16" s="334"/>
      <c r="CT16" s="334"/>
      <c r="CU16" s="334"/>
      <c r="CV16" s="334"/>
      <c r="CW16" s="334"/>
      <c r="CX16" s="334"/>
      <c r="CY16" s="334"/>
      <c r="CZ16" s="334"/>
      <c r="DA16" s="334"/>
      <c r="DB16" s="334"/>
      <c r="DC16" s="334"/>
      <c r="DD16" s="334"/>
      <c r="DE16" s="334"/>
      <c r="DF16" s="334"/>
      <c r="DG16" s="334"/>
      <c r="DH16" s="334"/>
      <c r="DI16" s="334"/>
      <c r="DJ16" s="334"/>
      <c r="DK16" s="334"/>
      <c r="DL16" s="334"/>
      <c r="DM16" s="334"/>
      <c r="DN16" s="334"/>
      <c r="DO16" s="334"/>
      <c r="DP16" s="334"/>
      <c r="DQ16" s="334"/>
      <c r="DR16" s="334"/>
      <c r="DS16" s="334"/>
      <c r="DT16" s="334"/>
      <c r="DU16" s="334"/>
      <c r="DV16" s="334"/>
      <c r="DW16" s="334"/>
      <c r="DX16" s="334"/>
      <c r="DY16" s="334"/>
      <c r="DZ16" s="334"/>
      <c r="EA16" s="334"/>
      <c r="EB16" s="334"/>
      <c r="EC16" s="334"/>
      <c r="ED16" s="334"/>
      <c r="EE16" s="334"/>
      <c r="EF16" s="334"/>
      <c r="EG16" s="334"/>
      <c r="EH16" s="334"/>
      <c r="EI16" s="334"/>
      <c r="EJ16" s="334"/>
      <c r="EK16" s="334"/>
      <c r="EL16" s="334"/>
      <c r="EM16" s="334"/>
      <c r="EN16" s="334"/>
      <c r="EO16" s="334"/>
      <c r="EP16" s="334"/>
      <c r="EQ16" s="334"/>
      <c r="ER16" s="334"/>
      <c r="ES16" s="334"/>
      <c r="ET16" s="334"/>
      <c r="EU16" s="334"/>
      <c r="EV16" s="334"/>
      <c r="EW16" s="334"/>
      <c r="EX16" s="334"/>
      <c r="EY16" s="334"/>
      <c r="EZ16" s="334"/>
      <c r="FA16" s="334"/>
      <c r="FB16" s="334"/>
      <c r="FC16" s="334"/>
      <c r="FD16" s="334"/>
      <c r="FE16" s="334"/>
      <c r="FF16" s="334"/>
      <c r="FG16" s="334"/>
      <c r="FH16" s="334"/>
      <c r="FI16" s="334"/>
      <c r="FJ16" s="334"/>
      <c r="FK16" s="334"/>
      <c r="FL16" s="334"/>
      <c r="FM16" s="334"/>
      <c r="FN16" s="334"/>
      <c r="FO16" s="334"/>
      <c r="FP16" s="334"/>
      <c r="FQ16" s="334"/>
      <c r="FR16" s="334"/>
      <c r="FS16" s="334"/>
      <c r="FT16" s="334"/>
      <c r="FU16" s="334"/>
      <c r="FV16" s="334"/>
      <c r="FW16" s="334"/>
    </row>
    <row r="17" spans="1:179" s="319" customFormat="1" ht="13.2" x14ac:dyDescent="0.25">
      <c r="A17" s="357" t="s">
        <v>31</v>
      </c>
      <c r="B17" s="71">
        <v>1</v>
      </c>
      <c r="C17" s="71">
        <v>3</v>
      </c>
      <c r="D17" s="71">
        <v>3</v>
      </c>
      <c r="E17" s="71">
        <v>0</v>
      </c>
      <c r="F17" s="71">
        <v>3</v>
      </c>
      <c r="G17" s="71">
        <v>2</v>
      </c>
      <c r="H17" s="5">
        <v>2</v>
      </c>
      <c r="I17" s="5">
        <v>2</v>
      </c>
      <c r="J17" s="71">
        <v>11</v>
      </c>
      <c r="K17" s="71">
        <v>15</v>
      </c>
      <c r="L17" s="71">
        <v>17</v>
      </c>
      <c r="M17" s="71">
        <v>25</v>
      </c>
      <c r="N17" s="5">
        <v>34</v>
      </c>
      <c r="O17" s="239">
        <v>40</v>
      </c>
      <c r="P17" s="239">
        <v>44</v>
      </c>
      <c r="Q17" s="280">
        <v>44</v>
      </c>
      <c r="R17" s="280">
        <v>56</v>
      </c>
      <c r="S17" s="311">
        <f>40+1</f>
        <v>41</v>
      </c>
      <c r="T17" s="280">
        <v>54</v>
      </c>
      <c r="U17" s="502">
        <v>39</v>
      </c>
      <c r="V17" s="511">
        <v>53</v>
      </c>
      <c r="W17" s="249">
        <v>43</v>
      </c>
      <c r="X17" s="5">
        <v>47</v>
      </c>
      <c r="Y17" s="5">
        <v>44</v>
      </c>
      <c r="Z17" s="72">
        <v>43</v>
      </c>
      <c r="AA17" s="72">
        <v>45</v>
      </c>
      <c r="AB17" s="72">
        <v>43</v>
      </c>
      <c r="AC17" s="72">
        <v>36</v>
      </c>
      <c r="AD17" s="72">
        <v>28</v>
      </c>
      <c r="AE17" s="72">
        <v>30</v>
      </c>
      <c r="AF17" s="73">
        <v>33</v>
      </c>
      <c r="AG17" s="205">
        <f t="shared" si="5"/>
        <v>0.1</v>
      </c>
      <c r="AH17" s="206">
        <f t="shared" si="6"/>
        <v>-0.26666666666666666</v>
      </c>
      <c r="AI17" s="207">
        <f t="shared" si="7"/>
        <v>-0.37735849056603776</v>
      </c>
      <c r="AJ17" s="120">
        <f t="shared" si="8"/>
        <v>30.333333333333332</v>
      </c>
      <c r="AK17" s="331">
        <f t="shared" si="4"/>
        <v>15</v>
      </c>
      <c r="AS17" s="334"/>
      <c r="AT17" s="334"/>
      <c r="AU17" s="334"/>
      <c r="AV17" s="334"/>
      <c r="AW17" s="334"/>
      <c r="AX17" s="334"/>
      <c r="AY17" s="334"/>
      <c r="AZ17" s="334"/>
      <c r="BA17" s="334"/>
      <c r="BB17" s="334"/>
      <c r="BC17" s="334"/>
      <c r="BD17" s="334"/>
      <c r="BE17" s="334"/>
      <c r="BF17" s="334"/>
      <c r="BG17" s="334"/>
      <c r="BH17" s="334"/>
      <c r="BI17" s="334"/>
      <c r="BJ17" s="334"/>
      <c r="BK17" s="334"/>
      <c r="BL17" s="334"/>
      <c r="BM17" s="334"/>
      <c r="BN17" s="334"/>
      <c r="BO17" s="334"/>
      <c r="BP17" s="334"/>
      <c r="BQ17" s="334"/>
      <c r="BR17" s="334"/>
      <c r="BS17" s="334"/>
      <c r="BT17" s="334"/>
      <c r="BU17" s="334"/>
      <c r="BV17" s="334"/>
      <c r="BW17" s="334"/>
      <c r="BX17" s="334"/>
      <c r="BY17" s="334"/>
      <c r="BZ17" s="334"/>
      <c r="CA17" s="334"/>
      <c r="CB17" s="334"/>
      <c r="CC17" s="334"/>
      <c r="CD17" s="334"/>
      <c r="CE17" s="334"/>
      <c r="CF17" s="334"/>
      <c r="CG17" s="334"/>
      <c r="CH17" s="334"/>
      <c r="CI17" s="334"/>
      <c r="CJ17" s="334"/>
      <c r="CK17" s="334"/>
      <c r="CL17" s="334"/>
      <c r="CM17" s="334"/>
      <c r="CN17" s="334"/>
      <c r="CO17" s="334"/>
      <c r="CP17" s="334"/>
      <c r="CQ17" s="334"/>
      <c r="CR17" s="334"/>
      <c r="CS17" s="334"/>
      <c r="CT17" s="334"/>
      <c r="CU17" s="334"/>
      <c r="CV17" s="334"/>
      <c r="CW17" s="334"/>
      <c r="CX17" s="334"/>
      <c r="CY17" s="334"/>
      <c r="CZ17" s="334"/>
      <c r="DA17" s="334"/>
      <c r="DB17" s="334"/>
      <c r="DC17" s="334"/>
      <c r="DD17" s="334"/>
      <c r="DE17" s="334"/>
      <c r="DF17" s="334"/>
      <c r="DG17" s="334"/>
      <c r="DH17" s="334"/>
      <c r="DI17" s="334"/>
      <c r="DJ17" s="334"/>
      <c r="DK17" s="334"/>
      <c r="DL17" s="334"/>
      <c r="DM17" s="334"/>
      <c r="DN17" s="334"/>
      <c r="DO17" s="334"/>
      <c r="DP17" s="334"/>
      <c r="DQ17" s="334"/>
      <c r="DR17" s="334"/>
      <c r="DS17" s="334"/>
      <c r="DT17" s="334"/>
      <c r="DU17" s="334"/>
      <c r="DV17" s="334"/>
      <c r="DW17" s="334"/>
      <c r="DX17" s="334"/>
      <c r="DY17" s="334"/>
      <c r="DZ17" s="334"/>
      <c r="EA17" s="334"/>
      <c r="EB17" s="334"/>
      <c r="EC17" s="334"/>
      <c r="ED17" s="334"/>
      <c r="EE17" s="334"/>
      <c r="EF17" s="334"/>
      <c r="EG17" s="334"/>
      <c r="EH17" s="334"/>
      <c r="EI17" s="334"/>
      <c r="EJ17" s="334"/>
      <c r="EK17" s="334"/>
      <c r="EL17" s="334"/>
      <c r="EM17" s="334"/>
      <c r="EN17" s="334"/>
      <c r="EO17" s="334"/>
      <c r="EP17" s="334"/>
      <c r="EQ17" s="334"/>
      <c r="ER17" s="334"/>
      <c r="ES17" s="334"/>
      <c r="ET17" s="334"/>
      <c r="EU17" s="334"/>
      <c r="EV17" s="334"/>
      <c r="EW17" s="334"/>
      <c r="EX17" s="334"/>
      <c r="EY17" s="334"/>
      <c r="EZ17" s="334"/>
      <c r="FA17" s="334"/>
      <c r="FB17" s="334"/>
      <c r="FC17" s="334"/>
      <c r="FD17" s="334"/>
      <c r="FE17" s="334"/>
      <c r="FF17" s="334"/>
      <c r="FG17" s="334"/>
      <c r="FH17" s="334"/>
      <c r="FI17" s="334"/>
      <c r="FJ17" s="334"/>
      <c r="FK17" s="334"/>
      <c r="FL17" s="334"/>
      <c r="FM17" s="334"/>
      <c r="FN17" s="334"/>
      <c r="FO17" s="334"/>
      <c r="FP17" s="334"/>
      <c r="FQ17" s="334"/>
      <c r="FR17" s="334"/>
      <c r="FS17" s="334"/>
      <c r="FT17" s="334"/>
      <c r="FU17" s="334"/>
      <c r="FV17" s="334"/>
      <c r="FW17" s="334"/>
    </row>
    <row r="18" spans="1:179" s="319" customFormat="1" ht="14.4" x14ac:dyDescent="0.3">
      <c r="A18" s="357" t="s">
        <v>100</v>
      </c>
      <c r="B18" s="71">
        <v>77</v>
      </c>
      <c r="C18" s="71">
        <v>97</v>
      </c>
      <c r="D18" s="71">
        <v>92</v>
      </c>
      <c r="E18" s="71">
        <v>95</v>
      </c>
      <c r="F18" s="71">
        <v>115</v>
      </c>
      <c r="G18" s="71">
        <v>94</v>
      </c>
      <c r="H18" s="5">
        <v>122</v>
      </c>
      <c r="I18" s="5">
        <v>129</v>
      </c>
      <c r="J18" s="71">
        <v>143</v>
      </c>
      <c r="K18" s="71">
        <v>135</v>
      </c>
      <c r="L18" s="71">
        <v>131</v>
      </c>
      <c r="M18" s="71">
        <v>142</v>
      </c>
      <c r="N18" s="5">
        <v>133</v>
      </c>
      <c r="O18" s="239">
        <v>155</v>
      </c>
      <c r="P18" s="239">
        <v>159</v>
      </c>
      <c r="Q18" s="280">
        <v>176</v>
      </c>
      <c r="R18" s="280">
        <v>138</v>
      </c>
      <c r="S18" s="311">
        <f>178+1</f>
        <v>179</v>
      </c>
      <c r="T18" s="280">
        <v>194</v>
      </c>
      <c r="U18" s="502">
        <f>182+3</f>
        <v>185</v>
      </c>
      <c r="V18" s="511">
        <v>162</v>
      </c>
      <c r="W18" s="249">
        <f>172+1</f>
        <v>173</v>
      </c>
      <c r="X18" s="5">
        <v>159</v>
      </c>
      <c r="Y18" s="5">
        <v>145</v>
      </c>
      <c r="Z18" s="72">
        <v>138</v>
      </c>
      <c r="AA18" s="72">
        <v>174</v>
      </c>
      <c r="AB18" s="72">
        <v>157</v>
      </c>
      <c r="AC18" s="72">
        <v>156</v>
      </c>
      <c r="AD18" s="72">
        <v>125</v>
      </c>
      <c r="AE18" s="72">
        <v>111</v>
      </c>
      <c r="AF18" s="73">
        <f>118+4</f>
        <v>122</v>
      </c>
      <c r="AG18" s="205">
        <f t="shared" si="5"/>
        <v>9.90990990990991E-2</v>
      </c>
      <c r="AH18" s="206">
        <f t="shared" si="6"/>
        <v>-0.2988505747126437</v>
      </c>
      <c r="AI18" s="207">
        <f t="shared" si="7"/>
        <v>-0.24691358024691357</v>
      </c>
      <c r="AJ18" s="120">
        <f t="shared" si="8"/>
        <v>119.33333333333333</v>
      </c>
      <c r="AK18" s="595">
        <f t="shared" si="4"/>
        <v>1</v>
      </c>
      <c r="AS18" s="334"/>
      <c r="AT18" s="334"/>
      <c r="AU18" s="334"/>
      <c r="AV18" s="334"/>
      <c r="AW18" s="334"/>
      <c r="AX18" s="334"/>
      <c r="AY18" s="334"/>
      <c r="AZ18" s="334"/>
      <c r="BA18" s="334"/>
      <c r="BB18" s="334"/>
      <c r="BC18" s="334"/>
      <c r="BD18" s="334"/>
      <c r="BE18" s="334"/>
      <c r="BF18" s="334"/>
      <c r="BG18" s="334"/>
      <c r="BH18" s="334"/>
      <c r="BI18" s="334"/>
      <c r="BJ18" s="334"/>
      <c r="BK18" s="334"/>
      <c r="BL18" s="334"/>
      <c r="BM18" s="334"/>
      <c r="BN18" s="334"/>
      <c r="BO18" s="334"/>
      <c r="BP18" s="334"/>
      <c r="BQ18" s="334"/>
      <c r="BR18" s="334"/>
      <c r="BS18" s="334"/>
      <c r="BT18" s="334"/>
      <c r="BU18" s="334"/>
      <c r="BV18" s="334"/>
      <c r="BW18" s="334"/>
      <c r="BX18" s="334"/>
      <c r="BY18" s="334"/>
      <c r="BZ18" s="334"/>
      <c r="CA18" s="334"/>
      <c r="CB18" s="334"/>
      <c r="CC18" s="334"/>
      <c r="CD18" s="334"/>
      <c r="CE18" s="334"/>
      <c r="CF18" s="334"/>
      <c r="CG18" s="334"/>
      <c r="CH18" s="334"/>
      <c r="CI18" s="334"/>
      <c r="CJ18" s="334"/>
      <c r="CK18" s="334"/>
      <c r="CL18" s="334"/>
      <c r="CM18" s="334"/>
      <c r="CN18" s="334"/>
      <c r="CO18" s="334"/>
      <c r="CP18" s="334"/>
      <c r="CQ18" s="334"/>
      <c r="CR18" s="334"/>
      <c r="CS18" s="334"/>
      <c r="CT18" s="334"/>
      <c r="CU18" s="334"/>
      <c r="CV18" s="334"/>
      <c r="CW18" s="334"/>
      <c r="CX18" s="334"/>
      <c r="CY18" s="334"/>
      <c r="CZ18" s="334"/>
      <c r="DA18" s="334"/>
      <c r="DB18" s="334"/>
      <c r="DC18" s="334"/>
      <c r="DD18" s="334"/>
      <c r="DE18" s="334"/>
      <c r="DF18" s="334"/>
      <c r="DG18" s="334"/>
      <c r="DH18" s="334"/>
      <c r="DI18" s="334"/>
      <c r="DJ18" s="334"/>
      <c r="DK18" s="334"/>
      <c r="DL18" s="334"/>
      <c r="DM18" s="334"/>
      <c r="DN18" s="334"/>
      <c r="DO18" s="334"/>
      <c r="DP18" s="334"/>
      <c r="DQ18" s="334"/>
      <c r="DR18" s="334"/>
      <c r="DS18" s="334"/>
      <c r="DT18" s="334"/>
      <c r="DU18" s="334"/>
      <c r="DV18" s="334"/>
      <c r="DW18" s="334"/>
      <c r="DX18" s="334"/>
      <c r="DY18" s="334"/>
      <c r="DZ18" s="334"/>
      <c r="EA18" s="334"/>
      <c r="EB18" s="334"/>
      <c r="EC18" s="334"/>
      <c r="ED18" s="334"/>
      <c r="EE18" s="334"/>
      <c r="EF18" s="334"/>
      <c r="EG18" s="334"/>
      <c r="EH18" s="334"/>
      <c r="EI18" s="334"/>
      <c r="EJ18" s="334"/>
      <c r="EK18" s="334"/>
      <c r="EL18" s="334"/>
      <c r="EM18" s="334"/>
      <c r="EN18" s="334"/>
      <c r="EO18" s="334"/>
      <c r="EP18" s="334"/>
      <c r="EQ18" s="334"/>
      <c r="ER18" s="334"/>
      <c r="ES18" s="334"/>
      <c r="ET18" s="334"/>
      <c r="EU18" s="334"/>
      <c r="EV18" s="334"/>
      <c r="EW18" s="334"/>
      <c r="EX18" s="334"/>
      <c r="EY18" s="334"/>
      <c r="EZ18" s="334"/>
      <c r="FA18" s="334"/>
      <c r="FB18" s="334"/>
      <c r="FC18" s="334"/>
      <c r="FD18" s="334"/>
      <c r="FE18" s="334"/>
      <c r="FF18" s="334"/>
      <c r="FG18" s="334"/>
      <c r="FH18" s="334"/>
      <c r="FI18" s="334"/>
      <c r="FJ18" s="334"/>
      <c r="FK18" s="334"/>
      <c r="FL18" s="334"/>
      <c r="FM18" s="334"/>
      <c r="FN18" s="334"/>
      <c r="FO18" s="334"/>
      <c r="FP18" s="334"/>
      <c r="FQ18" s="334"/>
      <c r="FR18" s="334"/>
      <c r="FS18" s="334"/>
      <c r="FT18" s="334"/>
      <c r="FU18" s="334"/>
      <c r="FV18" s="334"/>
      <c r="FW18" s="334"/>
    </row>
    <row r="19" spans="1:179" s="319" customFormat="1" ht="13.2" x14ac:dyDescent="0.25">
      <c r="A19" s="357" t="s">
        <v>5</v>
      </c>
      <c r="B19" s="71"/>
      <c r="C19" s="71"/>
      <c r="D19" s="71"/>
      <c r="E19" s="71"/>
      <c r="F19" s="71"/>
      <c r="G19" s="71"/>
      <c r="H19" s="5"/>
      <c r="I19" s="5">
        <v>4</v>
      </c>
      <c r="J19" s="71">
        <v>3</v>
      </c>
      <c r="K19" s="71">
        <v>11</v>
      </c>
      <c r="L19" s="71">
        <v>15</v>
      </c>
      <c r="M19" s="71">
        <v>12</v>
      </c>
      <c r="N19" s="5">
        <v>14</v>
      </c>
      <c r="O19" s="239">
        <v>14</v>
      </c>
      <c r="P19" s="239">
        <v>19</v>
      </c>
      <c r="Q19" s="280">
        <v>18</v>
      </c>
      <c r="R19" s="280">
        <v>26</v>
      </c>
      <c r="S19" s="311">
        <f>33+1</f>
        <v>34</v>
      </c>
      <c r="T19" s="280">
        <v>44</v>
      </c>
      <c r="U19" s="502">
        <f>40+1+3</f>
        <v>44</v>
      </c>
      <c r="V19" s="511">
        <v>41</v>
      </c>
      <c r="W19" s="249">
        <v>32</v>
      </c>
      <c r="X19" s="5">
        <v>36</v>
      </c>
      <c r="Y19" s="5">
        <v>33</v>
      </c>
      <c r="Z19" s="72">
        <v>23</v>
      </c>
      <c r="AA19" s="72">
        <v>33</v>
      </c>
      <c r="AB19" s="72">
        <v>27</v>
      </c>
      <c r="AC19" s="72">
        <v>26</v>
      </c>
      <c r="AD19" s="72">
        <v>14</v>
      </c>
      <c r="AE19" s="72">
        <v>20</v>
      </c>
      <c r="AF19" s="73">
        <v>15</v>
      </c>
      <c r="AG19" s="205" t="str">
        <f t="shared" si="5"/>
        <v xml:space="preserve"> </v>
      </c>
      <c r="AH19" s="206" t="str">
        <f t="shared" si="6"/>
        <v xml:space="preserve"> </v>
      </c>
      <c r="AI19" s="207" t="str">
        <f t="shared" si="7"/>
        <v xml:space="preserve"> </v>
      </c>
      <c r="AJ19" s="120">
        <f t="shared" si="8"/>
        <v>16.333333333333332</v>
      </c>
      <c r="AK19" s="331">
        <f t="shared" si="4"/>
        <v>26</v>
      </c>
      <c r="AS19" s="334"/>
      <c r="AT19" s="334"/>
      <c r="AU19" s="334"/>
      <c r="AV19" s="334"/>
      <c r="AW19" s="334"/>
      <c r="AX19" s="334"/>
      <c r="AY19" s="334"/>
      <c r="AZ19" s="334"/>
      <c r="BA19" s="334"/>
      <c r="BB19" s="334"/>
      <c r="BC19" s="334"/>
      <c r="BD19" s="334"/>
      <c r="BE19" s="334"/>
      <c r="BF19" s="334"/>
      <c r="BG19" s="334"/>
      <c r="BH19" s="334"/>
      <c r="BI19" s="334"/>
      <c r="BJ19" s="334"/>
      <c r="BK19" s="334"/>
      <c r="BL19" s="334"/>
      <c r="BM19" s="334"/>
      <c r="BN19" s="334"/>
      <c r="BO19" s="334"/>
      <c r="BP19" s="334"/>
      <c r="BQ19" s="334"/>
      <c r="BR19" s="334"/>
      <c r="BS19" s="334"/>
      <c r="BT19" s="334"/>
      <c r="BU19" s="334"/>
      <c r="BV19" s="334"/>
      <c r="BW19" s="334"/>
      <c r="BX19" s="334"/>
      <c r="BY19" s="334"/>
      <c r="BZ19" s="334"/>
      <c r="CA19" s="334"/>
      <c r="CB19" s="334"/>
      <c r="CC19" s="334"/>
      <c r="CD19" s="334"/>
      <c r="CE19" s="334"/>
      <c r="CF19" s="334"/>
      <c r="CG19" s="334"/>
      <c r="CH19" s="334"/>
      <c r="CI19" s="334"/>
      <c r="CJ19" s="334"/>
      <c r="CK19" s="334"/>
      <c r="CL19" s="334"/>
      <c r="CM19" s="334"/>
      <c r="CN19" s="334"/>
      <c r="CO19" s="334"/>
      <c r="CP19" s="334"/>
      <c r="CQ19" s="334"/>
      <c r="CR19" s="334"/>
      <c r="CS19" s="334"/>
      <c r="CT19" s="334"/>
      <c r="CU19" s="334"/>
      <c r="CV19" s="334"/>
      <c r="CW19" s="334"/>
      <c r="CX19" s="334"/>
      <c r="CY19" s="334"/>
      <c r="CZ19" s="334"/>
      <c r="DA19" s="334"/>
      <c r="DB19" s="334"/>
      <c r="DC19" s="334"/>
      <c r="DD19" s="334"/>
      <c r="DE19" s="334"/>
      <c r="DF19" s="334"/>
      <c r="DG19" s="334"/>
      <c r="DH19" s="334"/>
      <c r="DI19" s="334"/>
      <c r="DJ19" s="334"/>
      <c r="DK19" s="334"/>
      <c r="DL19" s="334"/>
      <c r="DM19" s="334"/>
      <c r="DN19" s="334"/>
      <c r="DO19" s="334"/>
      <c r="DP19" s="334"/>
      <c r="DQ19" s="334"/>
      <c r="DR19" s="334"/>
      <c r="DS19" s="334"/>
      <c r="DT19" s="334"/>
      <c r="DU19" s="334"/>
      <c r="DV19" s="334"/>
      <c r="DW19" s="334"/>
      <c r="DX19" s="334"/>
      <c r="DY19" s="334"/>
      <c r="DZ19" s="334"/>
      <c r="EA19" s="334"/>
      <c r="EB19" s="334"/>
      <c r="EC19" s="334"/>
      <c r="ED19" s="334"/>
      <c r="EE19" s="334"/>
      <c r="EF19" s="334"/>
      <c r="EG19" s="334"/>
      <c r="EH19" s="334"/>
      <c r="EI19" s="334"/>
      <c r="EJ19" s="334"/>
      <c r="EK19" s="334"/>
      <c r="EL19" s="334"/>
      <c r="EM19" s="334"/>
      <c r="EN19" s="334"/>
      <c r="EO19" s="334"/>
      <c r="EP19" s="334"/>
      <c r="EQ19" s="334"/>
      <c r="ER19" s="334"/>
      <c r="ES19" s="334"/>
      <c r="ET19" s="334"/>
      <c r="EU19" s="334"/>
      <c r="EV19" s="334"/>
      <c r="EW19" s="334"/>
      <c r="EX19" s="334"/>
      <c r="EY19" s="334"/>
      <c r="EZ19" s="334"/>
      <c r="FA19" s="334"/>
      <c r="FB19" s="334"/>
      <c r="FC19" s="334"/>
      <c r="FD19" s="334"/>
      <c r="FE19" s="334"/>
      <c r="FF19" s="334"/>
      <c r="FG19" s="334"/>
      <c r="FH19" s="334"/>
      <c r="FI19" s="334"/>
      <c r="FJ19" s="334"/>
      <c r="FK19" s="334"/>
      <c r="FL19" s="334"/>
      <c r="FM19" s="334"/>
      <c r="FN19" s="334"/>
      <c r="FO19" s="334"/>
      <c r="FP19" s="334"/>
      <c r="FQ19" s="334"/>
      <c r="FR19" s="334"/>
      <c r="FS19" s="334"/>
      <c r="FT19" s="334"/>
      <c r="FU19" s="334"/>
      <c r="FV19" s="334"/>
      <c r="FW19" s="334"/>
    </row>
    <row r="20" spans="1:179" s="319" customFormat="1" ht="13.2" x14ac:dyDescent="0.25">
      <c r="A20" s="359" t="s">
        <v>9</v>
      </c>
      <c r="B20" s="74">
        <v>35</v>
      </c>
      <c r="C20" s="74">
        <v>42</v>
      </c>
      <c r="D20" s="74">
        <v>31</v>
      </c>
      <c r="E20" s="74">
        <v>33</v>
      </c>
      <c r="F20" s="74">
        <v>31</v>
      </c>
      <c r="G20" s="74">
        <v>33</v>
      </c>
      <c r="H20" s="7">
        <v>42</v>
      </c>
      <c r="I20" s="7">
        <v>31</v>
      </c>
      <c r="J20" s="74">
        <v>38</v>
      </c>
      <c r="K20" s="74">
        <v>46</v>
      </c>
      <c r="L20" s="74">
        <v>45</v>
      </c>
      <c r="M20" s="74">
        <v>38</v>
      </c>
      <c r="N20" s="7">
        <v>45</v>
      </c>
      <c r="O20" s="240">
        <v>53</v>
      </c>
      <c r="P20" s="240">
        <v>46</v>
      </c>
      <c r="Q20" s="281">
        <v>64</v>
      </c>
      <c r="R20" s="281">
        <v>48</v>
      </c>
      <c r="S20" s="312">
        <f>60+2</f>
        <v>62</v>
      </c>
      <c r="T20" s="281">
        <v>54</v>
      </c>
      <c r="U20" s="503">
        <f>43+3</f>
        <v>46</v>
      </c>
      <c r="V20" s="512">
        <v>52</v>
      </c>
      <c r="W20" s="250">
        <f>50+4</f>
        <v>54</v>
      </c>
      <c r="X20" s="7">
        <v>50</v>
      </c>
      <c r="Y20" s="7">
        <v>44</v>
      </c>
      <c r="Z20" s="75">
        <v>37</v>
      </c>
      <c r="AA20" s="75">
        <v>56</v>
      </c>
      <c r="AB20" s="75">
        <v>44</v>
      </c>
      <c r="AC20" s="75">
        <v>31</v>
      </c>
      <c r="AD20" s="75">
        <v>43</v>
      </c>
      <c r="AE20" s="75">
        <v>27</v>
      </c>
      <c r="AF20" s="76">
        <f>15+3</f>
        <v>18</v>
      </c>
      <c r="AG20" s="208">
        <f t="shared" si="5"/>
        <v>-0.33333333333333331</v>
      </c>
      <c r="AH20" s="209">
        <f t="shared" si="6"/>
        <v>-0.6785714285714286</v>
      </c>
      <c r="AI20" s="210">
        <f t="shared" si="7"/>
        <v>-0.65384615384615385</v>
      </c>
      <c r="AJ20" s="222">
        <f t="shared" si="8"/>
        <v>29.333333333333332</v>
      </c>
      <c r="AK20" s="331">
        <f t="shared" si="4"/>
        <v>23</v>
      </c>
      <c r="AS20" s="334"/>
      <c r="AT20" s="334"/>
      <c r="AU20" s="334"/>
      <c r="AV20" s="334"/>
      <c r="AW20" s="334"/>
      <c r="AX20" s="334"/>
      <c r="AY20" s="334"/>
      <c r="AZ20" s="334"/>
      <c r="BA20" s="334"/>
      <c r="BB20" s="334"/>
      <c r="BC20" s="334"/>
      <c r="BD20" s="334"/>
      <c r="BE20" s="334"/>
      <c r="BF20" s="334"/>
      <c r="BG20" s="334"/>
      <c r="BH20" s="334"/>
      <c r="BI20" s="334"/>
      <c r="BJ20" s="334"/>
      <c r="BK20" s="334"/>
      <c r="BL20" s="334"/>
      <c r="BM20" s="334"/>
      <c r="BN20" s="334"/>
      <c r="BO20" s="334"/>
      <c r="BP20" s="334"/>
      <c r="BQ20" s="334"/>
      <c r="BR20" s="334"/>
      <c r="BS20" s="334"/>
      <c r="BT20" s="334"/>
      <c r="BU20" s="334"/>
      <c r="BV20" s="334"/>
      <c r="BW20" s="334"/>
      <c r="BX20" s="334"/>
      <c r="BY20" s="334"/>
      <c r="BZ20" s="334"/>
      <c r="CA20" s="334"/>
      <c r="CB20" s="334"/>
      <c r="CC20" s="334"/>
      <c r="CD20" s="334"/>
      <c r="CE20" s="334"/>
      <c r="CF20" s="334"/>
      <c r="CG20" s="334"/>
      <c r="CH20" s="334"/>
      <c r="CI20" s="334"/>
      <c r="CJ20" s="334"/>
      <c r="CK20" s="334"/>
      <c r="CL20" s="334"/>
      <c r="CM20" s="334"/>
      <c r="CN20" s="334"/>
      <c r="CO20" s="334"/>
      <c r="CP20" s="334"/>
      <c r="CQ20" s="334"/>
      <c r="CR20" s="334"/>
      <c r="CS20" s="334"/>
      <c r="CT20" s="334"/>
      <c r="CU20" s="334"/>
      <c r="CV20" s="334"/>
      <c r="CW20" s="334"/>
      <c r="CX20" s="334"/>
      <c r="CY20" s="334"/>
      <c r="CZ20" s="334"/>
      <c r="DA20" s="334"/>
      <c r="DB20" s="334"/>
      <c r="DC20" s="334"/>
      <c r="DD20" s="334"/>
      <c r="DE20" s="334"/>
      <c r="DF20" s="334"/>
      <c r="DG20" s="334"/>
      <c r="DH20" s="334"/>
      <c r="DI20" s="334"/>
      <c r="DJ20" s="334"/>
      <c r="DK20" s="334"/>
      <c r="DL20" s="334"/>
      <c r="DM20" s="334"/>
      <c r="DN20" s="334"/>
      <c r="DO20" s="334"/>
      <c r="DP20" s="334"/>
      <c r="DQ20" s="334"/>
      <c r="DR20" s="334"/>
      <c r="DS20" s="334"/>
      <c r="DT20" s="334"/>
      <c r="DU20" s="334"/>
      <c r="DV20" s="334"/>
      <c r="DW20" s="334"/>
      <c r="DX20" s="334"/>
      <c r="DY20" s="334"/>
      <c r="DZ20" s="334"/>
      <c r="EA20" s="334"/>
      <c r="EB20" s="334"/>
      <c r="EC20" s="334"/>
      <c r="ED20" s="334"/>
      <c r="EE20" s="334"/>
      <c r="EF20" s="334"/>
      <c r="EG20" s="334"/>
      <c r="EH20" s="334"/>
      <c r="EI20" s="334"/>
      <c r="EJ20" s="334"/>
      <c r="EK20" s="334"/>
      <c r="EL20" s="334"/>
      <c r="EM20" s="334"/>
      <c r="EN20" s="334"/>
      <c r="EO20" s="334"/>
      <c r="EP20" s="334"/>
      <c r="EQ20" s="334"/>
      <c r="ER20" s="334"/>
      <c r="ES20" s="334"/>
      <c r="ET20" s="334"/>
      <c r="EU20" s="334"/>
      <c r="EV20" s="334"/>
      <c r="EW20" s="334"/>
      <c r="EX20" s="334"/>
      <c r="EY20" s="334"/>
      <c r="EZ20" s="334"/>
      <c r="FA20" s="334"/>
      <c r="FB20" s="334"/>
      <c r="FC20" s="334"/>
      <c r="FD20" s="334"/>
      <c r="FE20" s="334"/>
      <c r="FF20" s="334"/>
      <c r="FG20" s="334"/>
      <c r="FH20" s="334"/>
      <c r="FI20" s="334"/>
      <c r="FJ20" s="334"/>
      <c r="FK20" s="334"/>
      <c r="FL20" s="334"/>
      <c r="FM20" s="334"/>
      <c r="FN20" s="334"/>
      <c r="FO20" s="334"/>
      <c r="FP20" s="334"/>
      <c r="FQ20" s="334"/>
      <c r="FR20" s="334"/>
      <c r="FS20" s="334"/>
      <c r="FT20" s="334"/>
      <c r="FU20" s="334"/>
      <c r="FV20" s="334"/>
      <c r="FW20" s="334"/>
    </row>
    <row r="21" spans="1:179" s="319" customFormat="1" ht="14.4" x14ac:dyDescent="0.3">
      <c r="A21" s="358" t="s">
        <v>45</v>
      </c>
      <c r="B21" s="98"/>
      <c r="C21" s="98"/>
      <c r="D21" s="98"/>
      <c r="E21" s="98"/>
      <c r="F21" s="98"/>
      <c r="G21" s="98"/>
      <c r="H21" s="99"/>
      <c r="I21" s="99"/>
      <c r="J21" s="98"/>
      <c r="K21" s="98"/>
      <c r="L21" s="98"/>
      <c r="M21" s="98"/>
      <c r="N21" s="99"/>
      <c r="O21" s="245">
        <v>1</v>
      </c>
      <c r="P21" s="245">
        <v>2</v>
      </c>
      <c r="Q21" s="287">
        <v>2</v>
      </c>
      <c r="R21" s="287">
        <v>0</v>
      </c>
      <c r="S21" s="315">
        <v>1</v>
      </c>
      <c r="T21" s="287">
        <v>2</v>
      </c>
      <c r="U21" s="508">
        <v>2</v>
      </c>
      <c r="V21" s="515">
        <v>2</v>
      </c>
      <c r="W21" s="254">
        <v>4</v>
      </c>
      <c r="X21" s="99">
        <v>3</v>
      </c>
      <c r="Y21" s="99">
        <v>0</v>
      </c>
      <c r="Z21" s="84">
        <v>1</v>
      </c>
      <c r="AA21" s="84">
        <v>2</v>
      </c>
      <c r="AB21" s="84">
        <v>3</v>
      </c>
      <c r="AC21" s="84">
        <v>1</v>
      </c>
      <c r="AD21" s="84">
        <v>1</v>
      </c>
      <c r="AE21" s="84">
        <v>2</v>
      </c>
      <c r="AF21" s="100">
        <v>4</v>
      </c>
      <c r="AG21" s="202" t="str">
        <f t="shared" si="5"/>
        <v xml:space="preserve"> </v>
      </c>
      <c r="AH21" s="203" t="str">
        <f t="shared" si="6"/>
        <v xml:space="preserve"> </v>
      </c>
      <c r="AI21" s="204" t="str">
        <f t="shared" si="7"/>
        <v xml:space="preserve"> </v>
      </c>
      <c r="AJ21" s="221">
        <f t="shared" si="8"/>
        <v>2.3333333333333335</v>
      </c>
      <c r="AK21" s="320">
        <f t="shared" si="4"/>
        <v>43</v>
      </c>
      <c r="AS21" s="334"/>
      <c r="AT21" s="334"/>
      <c r="AU21" s="334"/>
      <c r="AV21" s="334"/>
      <c r="AW21" s="334"/>
      <c r="AX21" s="334"/>
      <c r="AY21" s="334"/>
      <c r="AZ21" s="334"/>
      <c r="BA21" s="334"/>
      <c r="BB21" s="334"/>
      <c r="BC21" s="334"/>
      <c r="BD21" s="334"/>
      <c r="BE21" s="334"/>
      <c r="BF21" s="334"/>
      <c r="BG21" s="334"/>
      <c r="BH21" s="334"/>
      <c r="BI21" s="334"/>
      <c r="BJ21" s="334"/>
      <c r="BK21" s="334"/>
      <c r="BL21" s="334"/>
      <c r="BM21" s="334"/>
      <c r="BN21" s="334"/>
      <c r="BO21" s="334"/>
      <c r="BP21" s="334"/>
      <c r="BQ21" s="334"/>
      <c r="BR21" s="334"/>
      <c r="BS21" s="334"/>
      <c r="BT21" s="334"/>
      <c r="BU21" s="334"/>
      <c r="BV21" s="334"/>
      <c r="BW21" s="334"/>
      <c r="BX21" s="334"/>
      <c r="BY21" s="334"/>
      <c r="BZ21" s="334"/>
      <c r="CA21" s="334"/>
      <c r="CB21" s="334"/>
      <c r="CC21" s="334"/>
      <c r="CD21" s="334"/>
      <c r="CE21" s="334"/>
      <c r="CF21" s="334"/>
      <c r="CG21" s="334"/>
      <c r="CH21" s="334"/>
      <c r="CI21" s="334"/>
      <c r="CJ21" s="334"/>
      <c r="CK21" s="334"/>
      <c r="CL21" s="334"/>
      <c r="CM21" s="334"/>
      <c r="CN21" s="334"/>
      <c r="CO21" s="334"/>
      <c r="CP21" s="334"/>
      <c r="CQ21" s="334"/>
      <c r="CR21" s="334"/>
      <c r="CS21" s="334"/>
      <c r="CT21" s="334"/>
      <c r="CU21" s="334"/>
      <c r="CV21" s="334"/>
      <c r="CW21" s="334"/>
      <c r="CX21" s="334"/>
      <c r="CY21" s="334"/>
      <c r="CZ21" s="334"/>
      <c r="DA21" s="334"/>
      <c r="DB21" s="334"/>
      <c r="DC21" s="334"/>
      <c r="DD21" s="334"/>
      <c r="DE21" s="334"/>
      <c r="DF21" s="334"/>
      <c r="DG21" s="334"/>
      <c r="DH21" s="334"/>
      <c r="DI21" s="334"/>
      <c r="DJ21" s="334"/>
      <c r="DK21" s="334"/>
      <c r="DL21" s="334"/>
      <c r="DM21" s="334"/>
      <c r="DN21" s="334"/>
      <c r="DO21" s="334"/>
      <c r="DP21" s="334"/>
      <c r="DQ21" s="334"/>
      <c r="DR21" s="334"/>
      <c r="DS21" s="334"/>
      <c r="DT21" s="334"/>
      <c r="DU21" s="334"/>
      <c r="DV21" s="334"/>
      <c r="DW21" s="334"/>
      <c r="DX21" s="334"/>
      <c r="DY21" s="334"/>
      <c r="DZ21" s="334"/>
      <c r="EA21" s="334"/>
      <c r="EB21" s="334"/>
      <c r="EC21" s="334"/>
      <c r="ED21" s="334"/>
      <c r="EE21" s="334"/>
      <c r="EF21" s="334"/>
      <c r="EG21" s="334"/>
      <c r="EH21" s="334"/>
      <c r="EI21" s="334"/>
      <c r="EJ21" s="334"/>
      <c r="EK21" s="334"/>
      <c r="EL21" s="334"/>
      <c r="EM21" s="334"/>
      <c r="EN21" s="334"/>
      <c r="EO21" s="334"/>
      <c r="EP21" s="334"/>
      <c r="EQ21" s="334"/>
      <c r="ER21" s="334"/>
      <c r="ES21" s="334"/>
      <c r="ET21" s="334"/>
      <c r="EU21" s="334"/>
      <c r="EV21" s="334"/>
      <c r="EW21" s="334"/>
      <c r="EX21" s="334"/>
      <c r="EY21" s="334"/>
      <c r="EZ21" s="334"/>
      <c r="FA21" s="334"/>
      <c r="FB21" s="334"/>
      <c r="FC21" s="334"/>
      <c r="FD21" s="334"/>
      <c r="FE21" s="334"/>
      <c r="FF21" s="334"/>
      <c r="FG21" s="334"/>
      <c r="FH21" s="334"/>
      <c r="FI21" s="334"/>
      <c r="FJ21" s="334"/>
      <c r="FK21" s="334"/>
      <c r="FL21" s="334"/>
      <c r="FM21" s="334"/>
      <c r="FN21" s="334"/>
      <c r="FO21" s="334"/>
      <c r="FP21" s="334"/>
      <c r="FQ21" s="334"/>
      <c r="FR21" s="334"/>
      <c r="FS21" s="334"/>
      <c r="FT21" s="334"/>
      <c r="FU21" s="334"/>
      <c r="FV21" s="334"/>
      <c r="FW21" s="334"/>
    </row>
    <row r="22" spans="1:179" s="319" customFormat="1" ht="13.2" x14ac:dyDescent="0.25">
      <c r="A22" s="357" t="s">
        <v>49</v>
      </c>
      <c r="B22" s="71"/>
      <c r="C22" s="71"/>
      <c r="D22" s="71"/>
      <c r="E22" s="71"/>
      <c r="F22" s="71"/>
      <c r="G22" s="71"/>
      <c r="H22" s="5"/>
      <c r="I22" s="5"/>
      <c r="J22" s="71"/>
      <c r="K22" s="71"/>
      <c r="L22" s="71"/>
      <c r="M22" s="71">
        <v>1</v>
      </c>
      <c r="N22" s="5">
        <v>4</v>
      </c>
      <c r="O22" s="239">
        <v>3</v>
      </c>
      <c r="P22" s="239">
        <v>6</v>
      </c>
      <c r="Q22" s="280">
        <v>17</v>
      </c>
      <c r="R22" s="280">
        <f>17+1</f>
        <v>18</v>
      </c>
      <c r="S22" s="311">
        <v>23</v>
      </c>
      <c r="T22" s="280">
        <v>21</v>
      </c>
      <c r="U22" s="502">
        <f>47+1</f>
        <v>48</v>
      </c>
      <c r="V22" s="511">
        <v>42</v>
      </c>
      <c r="W22" s="249">
        <f>42+2</f>
        <v>44</v>
      </c>
      <c r="X22" s="5">
        <v>40</v>
      </c>
      <c r="Y22" s="5">
        <v>53</v>
      </c>
      <c r="Z22" s="72">
        <v>47</v>
      </c>
      <c r="AA22" s="72">
        <v>49</v>
      </c>
      <c r="AB22" s="72">
        <v>51</v>
      </c>
      <c r="AC22" s="72">
        <v>38</v>
      </c>
      <c r="AD22" s="72">
        <v>33</v>
      </c>
      <c r="AE22" s="72">
        <v>24</v>
      </c>
      <c r="AF22" s="73">
        <f>19+1</f>
        <v>20</v>
      </c>
      <c r="AG22" s="205">
        <f t="shared" si="5"/>
        <v>-0.16666666666666666</v>
      </c>
      <c r="AH22" s="206">
        <f t="shared" si="6"/>
        <v>-0.59183673469387754</v>
      </c>
      <c r="AI22" s="207">
        <f t="shared" si="7"/>
        <v>-0.52380952380952384</v>
      </c>
      <c r="AJ22" s="120">
        <f t="shared" si="8"/>
        <v>25.666666666666668</v>
      </c>
      <c r="AK22" s="331">
        <f t="shared" si="4"/>
        <v>22</v>
      </c>
      <c r="AS22" s="334"/>
      <c r="AT22" s="334"/>
      <c r="AU22" s="334"/>
      <c r="AV22" s="334"/>
      <c r="AW22" s="334"/>
      <c r="AX22" s="334"/>
      <c r="AY22" s="334"/>
      <c r="AZ22" s="334"/>
      <c r="BA22" s="334"/>
      <c r="BB22" s="334"/>
      <c r="BC22" s="334"/>
      <c r="BD22" s="334"/>
      <c r="BE22" s="334"/>
      <c r="BF22" s="334"/>
      <c r="BG22" s="334"/>
      <c r="BH22" s="334"/>
      <c r="BI22" s="334"/>
      <c r="BJ22" s="334"/>
      <c r="BK22" s="334"/>
      <c r="BL22" s="334"/>
      <c r="BM22" s="334"/>
      <c r="BN22" s="334"/>
      <c r="BO22" s="334"/>
      <c r="BP22" s="334"/>
      <c r="BQ22" s="334"/>
      <c r="BR22" s="334"/>
      <c r="BS22" s="334"/>
      <c r="BT22" s="334"/>
      <c r="BU22" s="334"/>
      <c r="BV22" s="334"/>
      <c r="BW22" s="334"/>
      <c r="BX22" s="334"/>
      <c r="BY22" s="334"/>
      <c r="BZ22" s="334"/>
      <c r="CA22" s="334"/>
      <c r="CB22" s="334"/>
      <c r="CC22" s="334"/>
      <c r="CD22" s="334"/>
      <c r="CE22" s="334"/>
      <c r="CF22" s="334"/>
      <c r="CG22" s="334"/>
      <c r="CH22" s="334"/>
      <c r="CI22" s="334"/>
      <c r="CJ22" s="334"/>
      <c r="CK22" s="334"/>
      <c r="CL22" s="334"/>
      <c r="CM22" s="334"/>
      <c r="CN22" s="334"/>
      <c r="CO22" s="334"/>
      <c r="CP22" s="334"/>
      <c r="CQ22" s="334"/>
      <c r="CR22" s="334"/>
      <c r="CS22" s="334"/>
      <c r="CT22" s="334"/>
      <c r="CU22" s="334"/>
      <c r="CV22" s="334"/>
      <c r="CW22" s="334"/>
      <c r="CX22" s="334"/>
      <c r="CY22" s="334"/>
      <c r="CZ22" s="334"/>
      <c r="DA22" s="334"/>
      <c r="DB22" s="334"/>
      <c r="DC22" s="334"/>
      <c r="DD22" s="334"/>
      <c r="DE22" s="334"/>
      <c r="DF22" s="334"/>
      <c r="DG22" s="334"/>
      <c r="DH22" s="334"/>
      <c r="DI22" s="334"/>
      <c r="DJ22" s="334"/>
      <c r="DK22" s="334"/>
      <c r="DL22" s="334"/>
      <c r="DM22" s="334"/>
      <c r="DN22" s="334"/>
      <c r="DO22" s="334"/>
      <c r="DP22" s="334"/>
      <c r="DQ22" s="334"/>
      <c r="DR22" s="334"/>
      <c r="DS22" s="334"/>
      <c r="DT22" s="334"/>
      <c r="DU22" s="334"/>
      <c r="DV22" s="334"/>
      <c r="DW22" s="334"/>
      <c r="DX22" s="334"/>
      <c r="DY22" s="334"/>
      <c r="DZ22" s="334"/>
      <c r="EA22" s="334"/>
      <c r="EB22" s="334"/>
      <c r="EC22" s="334"/>
      <c r="ED22" s="334"/>
      <c r="EE22" s="334"/>
      <c r="EF22" s="334"/>
      <c r="EG22" s="334"/>
      <c r="EH22" s="334"/>
      <c r="EI22" s="334"/>
      <c r="EJ22" s="334"/>
      <c r="EK22" s="334"/>
      <c r="EL22" s="334"/>
      <c r="EM22" s="334"/>
      <c r="EN22" s="334"/>
      <c r="EO22" s="334"/>
      <c r="EP22" s="334"/>
      <c r="EQ22" s="334"/>
      <c r="ER22" s="334"/>
      <c r="ES22" s="334"/>
      <c r="ET22" s="334"/>
      <c r="EU22" s="334"/>
      <c r="EV22" s="334"/>
      <c r="EW22" s="334"/>
      <c r="EX22" s="334"/>
      <c r="EY22" s="334"/>
      <c r="EZ22" s="334"/>
      <c r="FA22" s="334"/>
      <c r="FB22" s="334"/>
      <c r="FC22" s="334"/>
      <c r="FD22" s="334"/>
      <c r="FE22" s="334"/>
      <c r="FF22" s="334"/>
      <c r="FG22" s="334"/>
      <c r="FH22" s="334"/>
      <c r="FI22" s="334"/>
      <c r="FJ22" s="334"/>
      <c r="FK22" s="334"/>
      <c r="FL22" s="334"/>
      <c r="FM22" s="334"/>
      <c r="FN22" s="334"/>
      <c r="FO22" s="334"/>
      <c r="FP22" s="334"/>
      <c r="FQ22" s="334"/>
      <c r="FR22" s="334"/>
      <c r="FS22" s="334"/>
      <c r="FT22" s="334"/>
      <c r="FU22" s="334"/>
      <c r="FV22" s="334"/>
      <c r="FW22" s="334"/>
    </row>
    <row r="23" spans="1:179" s="319" customFormat="1" ht="14.4" x14ac:dyDescent="0.3">
      <c r="A23" s="357" t="s">
        <v>12</v>
      </c>
      <c r="B23" s="71">
        <v>3</v>
      </c>
      <c r="C23" s="71">
        <v>2</v>
      </c>
      <c r="D23" s="71">
        <v>1</v>
      </c>
      <c r="E23" s="71">
        <v>2</v>
      </c>
      <c r="F23" s="71">
        <v>1</v>
      </c>
      <c r="G23" s="71">
        <v>3</v>
      </c>
      <c r="H23" s="5">
        <v>1</v>
      </c>
      <c r="I23" s="5">
        <v>3</v>
      </c>
      <c r="J23" s="71">
        <v>5</v>
      </c>
      <c r="K23" s="71">
        <v>1</v>
      </c>
      <c r="L23" s="71">
        <v>5</v>
      </c>
      <c r="M23" s="71">
        <v>2</v>
      </c>
      <c r="N23" s="5">
        <v>1</v>
      </c>
      <c r="O23" s="239">
        <v>3</v>
      </c>
      <c r="P23" s="239">
        <v>2</v>
      </c>
      <c r="Q23" s="280">
        <v>0</v>
      </c>
      <c r="R23" s="280">
        <v>2</v>
      </c>
      <c r="S23" s="311">
        <v>2</v>
      </c>
      <c r="T23" s="280">
        <v>2</v>
      </c>
      <c r="U23" s="502">
        <v>1</v>
      </c>
      <c r="V23" s="511">
        <v>4</v>
      </c>
      <c r="W23" s="249">
        <f>3+3</f>
        <v>6</v>
      </c>
      <c r="X23" s="5">
        <v>1</v>
      </c>
      <c r="Y23" s="5">
        <v>4</v>
      </c>
      <c r="Z23" s="72">
        <v>5</v>
      </c>
      <c r="AA23" s="72">
        <v>3</v>
      </c>
      <c r="AB23" s="72">
        <v>5</v>
      </c>
      <c r="AC23" s="72">
        <v>3</v>
      </c>
      <c r="AD23" s="72">
        <v>3</v>
      </c>
      <c r="AE23" s="72">
        <v>3</v>
      </c>
      <c r="AF23" s="73">
        <v>1</v>
      </c>
      <c r="AG23" s="205" t="str">
        <f t="shared" si="5"/>
        <v xml:space="preserve"> </v>
      </c>
      <c r="AH23" s="206" t="str">
        <f t="shared" si="6"/>
        <v xml:space="preserve"> </v>
      </c>
      <c r="AI23" s="207" t="str">
        <f t="shared" si="7"/>
        <v xml:space="preserve"> </v>
      </c>
      <c r="AJ23" s="120">
        <f t="shared" si="8"/>
        <v>2.3333333333333335</v>
      </c>
      <c r="AK23" s="320">
        <f t="shared" si="4"/>
        <v>49</v>
      </c>
      <c r="AS23" s="334"/>
      <c r="AT23" s="334"/>
      <c r="AU23" s="334"/>
      <c r="AV23" s="334"/>
      <c r="AW23" s="334"/>
      <c r="AX23" s="334"/>
      <c r="AY23" s="334"/>
      <c r="AZ23" s="334"/>
      <c r="BA23" s="334"/>
      <c r="BB23" s="334"/>
      <c r="BC23" s="334"/>
      <c r="BD23" s="334"/>
      <c r="BE23" s="334"/>
      <c r="BF23" s="334"/>
      <c r="BG23" s="334"/>
      <c r="BH23" s="334"/>
      <c r="BI23" s="334"/>
      <c r="BJ23" s="334"/>
      <c r="BK23" s="334"/>
      <c r="BL23" s="334"/>
      <c r="BM23" s="334"/>
      <c r="BN23" s="334"/>
      <c r="BO23" s="334"/>
      <c r="BP23" s="334"/>
      <c r="BQ23" s="334"/>
      <c r="BR23" s="334"/>
      <c r="BS23" s="334"/>
      <c r="BT23" s="334"/>
      <c r="BU23" s="334"/>
      <c r="BV23" s="334"/>
      <c r="BW23" s="334"/>
      <c r="BX23" s="334"/>
      <c r="BY23" s="334"/>
      <c r="BZ23" s="334"/>
      <c r="CA23" s="334"/>
      <c r="CB23" s="334"/>
      <c r="CC23" s="334"/>
      <c r="CD23" s="334"/>
      <c r="CE23" s="334"/>
      <c r="CF23" s="334"/>
      <c r="CG23" s="334"/>
      <c r="CH23" s="334"/>
      <c r="CI23" s="334"/>
      <c r="CJ23" s="334"/>
      <c r="CK23" s="334"/>
      <c r="CL23" s="334"/>
      <c r="CM23" s="334"/>
      <c r="CN23" s="334"/>
      <c r="CO23" s="334"/>
      <c r="CP23" s="334"/>
      <c r="CQ23" s="334"/>
      <c r="CR23" s="334"/>
      <c r="CS23" s="334"/>
      <c r="CT23" s="334"/>
      <c r="CU23" s="334"/>
      <c r="CV23" s="334"/>
      <c r="CW23" s="334"/>
      <c r="CX23" s="334"/>
      <c r="CY23" s="334"/>
      <c r="CZ23" s="334"/>
      <c r="DA23" s="334"/>
      <c r="DB23" s="334"/>
      <c r="DC23" s="334"/>
      <c r="DD23" s="334"/>
      <c r="DE23" s="334"/>
      <c r="DF23" s="334"/>
      <c r="DG23" s="334"/>
      <c r="DH23" s="334"/>
      <c r="DI23" s="334"/>
      <c r="DJ23" s="334"/>
      <c r="DK23" s="334"/>
      <c r="DL23" s="334"/>
      <c r="DM23" s="334"/>
      <c r="DN23" s="334"/>
      <c r="DO23" s="334"/>
      <c r="DP23" s="334"/>
      <c r="DQ23" s="334"/>
      <c r="DR23" s="334"/>
      <c r="DS23" s="334"/>
      <c r="DT23" s="334"/>
      <c r="DU23" s="334"/>
      <c r="DV23" s="334"/>
      <c r="DW23" s="334"/>
      <c r="DX23" s="334"/>
      <c r="DY23" s="334"/>
      <c r="DZ23" s="334"/>
      <c r="EA23" s="334"/>
      <c r="EB23" s="334"/>
      <c r="EC23" s="334"/>
      <c r="ED23" s="334"/>
      <c r="EE23" s="334"/>
      <c r="EF23" s="334"/>
      <c r="EG23" s="334"/>
      <c r="EH23" s="334"/>
      <c r="EI23" s="334"/>
      <c r="EJ23" s="334"/>
      <c r="EK23" s="334"/>
      <c r="EL23" s="334"/>
      <c r="EM23" s="334"/>
      <c r="EN23" s="334"/>
      <c r="EO23" s="334"/>
      <c r="EP23" s="334"/>
      <c r="EQ23" s="334"/>
      <c r="ER23" s="334"/>
      <c r="ES23" s="334"/>
      <c r="ET23" s="334"/>
      <c r="EU23" s="334"/>
      <c r="EV23" s="334"/>
      <c r="EW23" s="334"/>
      <c r="EX23" s="334"/>
      <c r="EY23" s="334"/>
      <c r="EZ23" s="334"/>
      <c r="FA23" s="334"/>
      <c r="FB23" s="334"/>
      <c r="FC23" s="334"/>
      <c r="FD23" s="334"/>
      <c r="FE23" s="334"/>
      <c r="FF23" s="334"/>
      <c r="FG23" s="334"/>
      <c r="FH23" s="334"/>
      <c r="FI23" s="334"/>
      <c r="FJ23" s="334"/>
      <c r="FK23" s="334"/>
      <c r="FL23" s="334"/>
      <c r="FM23" s="334"/>
      <c r="FN23" s="334"/>
      <c r="FO23" s="334"/>
      <c r="FP23" s="334"/>
      <c r="FQ23" s="334"/>
      <c r="FR23" s="334"/>
      <c r="FS23" s="334"/>
      <c r="FT23" s="334"/>
      <c r="FU23" s="334"/>
      <c r="FV23" s="334"/>
      <c r="FW23" s="334"/>
    </row>
    <row r="24" spans="1:179" s="319" customFormat="1" ht="13.2" x14ac:dyDescent="0.25">
      <c r="A24" s="357" t="s">
        <v>14</v>
      </c>
      <c r="B24" s="71">
        <v>43</v>
      </c>
      <c r="C24" s="71">
        <v>47</v>
      </c>
      <c r="D24" s="71">
        <v>50</v>
      </c>
      <c r="E24" s="71">
        <v>65</v>
      </c>
      <c r="F24" s="71">
        <v>47</v>
      </c>
      <c r="G24" s="71">
        <v>37</v>
      </c>
      <c r="H24" s="5">
        <v>33</v>
      </c>
      <c r="I24" s="5">
        <v>45</v>
      </c>
      <c r="J24" s="71">
        <v>52</v>
      </c>
      <c r="K24" s="71">
        <v>85</v>
      </c>
      <c r="L24" s="71">
        <v>72</v>
      </c>
      <c r="M24" s="71">
        <v>55</v>
      </c>
      <c r="N24" s="5">
        <v>67</v>
      </c>
      <c r="O24" s="239">
        <v>50</v>
      </c>
      <c r="P24" s="239">
        <v>60</v>
      </c>
      <c r="Q24" s="280">
        <v>70</v>
      </c>
      <c r="R24" s="280">
        <f>75+1</f>
        <v>76</v>
      </c>
      <c r="S24" s="311">
        <f>53+2</f>
        <v>55</v>
      </c>
      <c r="T24" s="280">
        <v>66</v>
      </c>
      <c r="U24" s="502">
        <f>50+3</f>
        <v>53</v>
      </c>
      <c r="V24" s="511">
        <v>47</v>
      </c>
      <c r="W24" s="249">
        <v>39</v>
      </c>
      <c r="X24" s="5">
        <v>42</v>
      </c>
      <c r="Y24" s="5">
        <v>46</v>
      </c>
      <c r="Z24" s="72">
        <v>37</v>
      </c>
      <c r="AA24" s="72">
        <v>31</v>
      </c>
      <c r="AB24" s="72">
        <v>35</v>
      </c>
      <c r="AC24" s="72">
        <v>35</v>
      </c>
      <c r="AD24" s="72">
        <v>35</v>
      </c>
      <c r="AE24" s="72">
        <v>23</v>
      </c>
      <c r="AF24" s="73">
        <v>30</v>
      </c>
      <c r="AG24" s="205">
        <f t="shared" si="5"/>
        <v>0.30434782608695654</v>
      </c>
      <c r="AH24" s="206">
        <f t="shared" si="6"/>
        <v>-3.2258064516129031E-2</v>
      </c>
      <c r="AI24" s="207">
        <f t="shared" si="7"/>
        <v>-0.36170212765957449</v>
      </c>
      <c r="AJ24" s="120">
        <f t="shared" si="8"/>
        <v>29.333333333333332</v>
      </c>
      <c r="AK24" s="331">
        <f t="shared" si="4"/>
        <v>17</v>
      </c>
      <c r="AO24" s="360" t="s">
        <v>55</v>
      </c>
      <c r="AS24" s="334"/>
      <c r="AT24" s="334"/>
      <c r="AU24" s="334"/>
      <c r="AV24" s="334"/>
      <c r="AW24" s="334"/>
      <c r="AX24" s="334"/>
      <c r="AY24" s="334"/>
      <c r="AZ24" s="334"/>
      <c r="BA24" s="334"/>
      <c r="BB24" s="334"/>
      <c r="BC24" s="334"/>
      <c r="BD24" s="334"/>
      <c r="BE24" s="334"/>
      <c r="BF24" s="334"/>
      <c r="BG24" s="334"/>
      <c r="BH24" s="334"/>
      <c r="BI24" s="334"/>
      <c r="BJ24" s="334"/>
      <c r="BK24" s="334"/>
      <c r="BL24" s="334"/>
      <c r="BM24" s="334"/>
      <c r="BN24" s="334"/>
      <c r="BO24" s="334"/>
      <c r="BP24" s="334"/>
      <c r="BQ24" s="334"/>
      <c r="BR24" s="334"/>
      <c r="BS24" s="334"/>
      <c r="BT24" s="334"/>
      <c r="BU24" s="334"/>
      <c r="BV24" s="334"/>
      <c r="BW24" s="334"/>
      <c r="BX24" s="334"/>
      <c r="BY24" s="334"/>
      <c r="BZ24" s="334"/>
      <c r="CA24" s="334"/>
      <c r="CB24" s="334"/>
      <c r="CC24" s="334"/>
      <c r="CD24" s="334"/>
      <c r="CE24" s="334"/>
      <c r="CF24" s="334"/>
      <c r="CG24" s="334"/>
      <c r="CH24" s="334"/>
      <c r="CI24" s="334"/>
      <c r="CJ24" s="334"/>
      <c r="CK24" s="334"/>
      <c r="CL24" s="334"/>
      <c r="CM24" s="334"/>
      <c r="CN24" s="334"/>
      <c r="CO24" s="334"/>
      <c r="CP24" s="334"/>
      <c r="CQ24" s="334"/>
      <c r="CR24" s="334"/>
      <c r="CS24" s="334"/>
      <c r="CT24" s="334"/>
      <c r="CU24" s="334"/>
      <c r="CV24" s="334"/>
      <c r="CW24" s="334"/>
      <c r="CX24" s="334"/>
      <c r="CY24" s="334"/>
      <c r="CZ24" s="334"/>
      <c r="DA24" s="334"/>
      <c r="DB24" s="334"/>
      <c r="DC24" s="334"/>
      <c r="DD24" s="334"/>
      <c r="DE24" s="334"/>
      <c r="DF24" s="334"/>
      <c r="DG24" s="334"/>
      <c r="DH24" s="334"/>
      <c r="DI24" s="334"/>
      <c r="DJ24" s="334"/>
      <c r="DK24" s="334"/>
      <c r="DL24" s="334"/>
      <c r="DM24" s="334"/>
      <c r="DN24" s="334"/>
      <c r="DO24" s="334"/>
      <c r="DP24" s="334"/>
      <c r="DQ24" s="334"/>
      <c r="DR24" s="334"/>
      <c r="DS24" s="334"/>
      <c r="DT24" s="334"/>
      <c r="DU24" s="334"/>
      <c r="DV24" s="334"/>
      <c r="DW24" s="334"/>
      <c r="DX24" s="334"/>
      <c r="DY24" s="334"/>
      <c r="DZ24" s="334"/>
      <c r="EA24" s="334"/>
      <c r="EB24" s="334"/>
      <c r="EC24" s="334"/>
      <c r="ED24" s="334"/>
      <c r="EE24" s="334"/>
      <c r="EF24" s="334"/>
      <c r="EG24" s="334"/>
      <c r="EH24" s="334"/>
      <c r="EI24" s="334"/>
      <c r="EJ24" s="334"/>
      <c r="EK24" s="334"/>
      <c r="EL24" s="334"/>
      <c r="EM24" s="334"/>
      <c r="EN24" s="334"/>
      <c r="EO24" s="334"/>
      <c r="EP24" s="334"/>
      <c r="EQ24" s="334"/>
      <c r="ER24" s="334"/>
      <c r="ES24" s="334"/>
      <c r="ET24" s="334"/>
      <c r="EU24" s="334"/>
      <c r="EV24" s="334"/>
      <c r="EW24" s="334"/>
      <c r="EX24" s="334"/>
      <c r="EY24" s="334"/>
      <c r="EZ24" s="334"/>
      <c r="FA24" s="334"/>
      <c r="FB24" s="334"/>
      <c r="FC24" s="334"/>
      <c r="FD24" s="334"/>
      <c r="FE24" s="334"/>
      <c r="FF24" s="334"/>
      <c r="FG24" s="334"/>
      <c r="FH24" s="334"/>
      <c r="FI24" s="334"/>
      <c r="FJ24" s="334"/>
      <c r="FK24" s="334"/>
      <c r="FL24" s="334"/>
      <c r="FM24" s="334"/>
      <c r="FN24" s="334"/>
      <c r="FO24" s="334"/>
      <c r="FP24" s="334"/>
      <c r="FQ24" s="334"/>
      <c r="FR24" s="334"/>
      <c r="FS24" s="334"/>
      <c r="FT24" s="334"/>
      <c r="FU24" s="334"/>
      <c r="FV24" s="334"/>
      <c r="FW24" s="334"/>
    </row>
    <row r="25" spans="1:179" s="319" customFormat="1" ht="13.2" x14ac:dyDescent="0.25">
      <c r="A25" s="482" t="s">
        <v>123</v>
      </c>
      <c r="B25" s="74"/>
      <c r="C25" s="74"/>
      <c r="D25" s="74"/>
      <c r="E25" s="74"/>
      <c r="F25" s="74"/>
      <c r="G25" s="74"/>
      <c r="H25" s="7"/>
      <c r="I25" s="7">
        <v>26</v>
      </c>
      <c r="J25" s="74">
        <v>53</v>
      </c>
      <c r="K25" s="74">
        <v>63</v>
      </c>
      <c r="L25" s="74">
        <v>55</v>
      </c>
      <c r="M25" s="74">
        <v>58</v>
      </c>
      <c r="N25" s="7">
        <v>61</v>
      </c>
      <c r="O25" s="240">
        <v>71</v>
      </c>
      <c r="P25" s="240">
        <v>67</v>
      </c>
      <c r="Q25" s="281">
        <v>52</v>
      </c>
      <c r="R25" s="281">
        <v>66</v>
      </c>
      <c r="S25" s="312">
        <v>67</v>
      </c>
      <c r="T25" s="281">
        <v>53</v>
      </c>
      <c r="U25" s="503">
        <v>22</v>
      </c>
      <c r="V25" s="512">
        <v>58</v>
      </c>
      <c r="W25" s="250">
        <v>56</v>
      </c>
      <c r="X25" s="7">
        <v>64</v>
      </c>
      <c r="Y25" s="7">
        <v>54</v>
      </c>
      <c r="Z25" s="75">
        <v>21</v>
      </c>
      <c r="AA25" s="75">
        <v>25</v>
      </c>
      <c r="AB25" s="75">
        <v>14</v>
      </c>
      <c r="AC25" s="75">
        <v>15</v>
      </c>
      <c r="AD25" s="75">
        <v>28</v>
      </c>
      <c r="AE25" s="75">
        <v>20</v>
      </c>
      <c r="AF25" s="76">
        <f>15+1</f>
        <v>16</v>
      </c>
      <c r="AG25" s="208">
        <f t="shared" si="5"/>
        <v>-0.2</v>
      </c>
      <c r="AH25" s="209">
        <f t="shared" si="6"/>
        <v>-0.36</v>
      </c>
      <c r="AI25" s="210">
        <f t="shared" si="7"/>
        <v>-0.72413793103448276</v>
      </c>
      <c r="AJ25" s="222">
        <f t="shared" si="8"/>
        <v>21.333333333333332</v>
      </c>
      <c r="AK25" s="331">
        <f t="shared" si="4"/>
        <v>24</v>
      </c>
      <c r="AO25" s="360"/>
      <c r="AS25" s="334"/>
      <c r="AT25" s="334"/>
      <c r="AU25" s="334"/>
      <c r="AV25" s="334"/>
      <c r="AW25" s="334"/>
      <c r="AX25" s="334"/>
      <c r="AY25" s="334"/>
      <c r="AZ25" s="334"/>
      <c r="BA25" s="334"/>
      <c r="BB25" s="334"/>
      <c r="BC25" s="334"/>
      <c r="BD25" s="334"/>
      <c r="BE25" s="334"/>
      <c r="BF25" s="334"/>
      <c r="BG25" s="334"/>
      <c r="BH25" s="334"/>
      <c r="BI25" s="334"/>
      <c r="BJ25" s="334"/>
      <c r="BK25" s="334"/>
      <c r="BL25" s="334"/>
      <c r="BM25" s="334"/>
      <c r="BN25" s="334"/>
      <c r="BO25" s="334"/>
      <c r="BP25" s="334"/>
      <c r="BQ25" s="334"/>
      <c r="BR25" s="334"/>
      <c r="BS25" s="334"/>
      <c r="BT25" s="334"/>
      <c r="BU25" s="334"/>
      <c r="BV25" s="334"/>
      <c r="BW25" s="334"/>
      <c r="BX25" s="334"/>
      <c r="BY25" s="334"/>
      <c r="BZ25" s="334"/>
      <c r="CA25" s="334"/>
      <c r="CB25" s="334"/>
      <c r="CC25" s="334"/>
      <c r="CD25" s="334"/>
      <c r="CE25" s="334"/>
      <c r="CF25" s="334"/>
      <c r="CG25" s="334"/>
      <c r="CH25" s="334"/>
      <c r="CI25" s="334"/>
      <c r="CJ25" s="334"/>
      <c r="CK25" s="334"/>
      <c r="CL25" s="334"/>
      <c r="CM25" s="334"/>
      <c r="CN25" s="334"/>
      <c r="CO25" s="334"/>
      <c r="CP25" s="334"/>
      <c r="CQ25" s="334"/>
      <c r="CR25" s="334"/>
      <c r="CS25" s="334"/>
      <c r="CT25" s="334"/>
      <c r="CU25" s="334"/>
      <c r="CV25" s="334"/>
      <c r="CW25" s="334"/>
      <c r="CX25" s="334"/>
      <c r="CY25" s="334"/>
      <c r="CZ25" s="334"/>
      <c r="DA25" s="334"/>
      <c r="DB25" s="334"/>
      <c r="DC25" s="334"/>
      <c r="DD25" s="334"/>
      <c r="DE25" s="334"/>
      <c r="DF25" s="334"/>
      <c r="DG25" s="334"/>
      <c r="DH25" s="334"/>
      <c r="DI25" s="334"/>
      <c r="DJ25" s="334"/>
      <c r="DK25" s="334"/>
      <c r="DL25" s="334"/>
      <c r="DM25" s="334"/>
      <c r="DN25" s="334"/>
      <c r="DO25" s="334"/>
      <c r="DP25" s="334"/>
      <c r="DQ25" s="334"/>
      <c r="DR25" s="334"/>
      <c r="DS25" s="334"/>
      <c r="DT25" s="334"/>
      <c r="DU25" s="334"/>
      <c r="DV25" s="334"/>
      <c r="DW25" s="334"/>
      <c r="DX25" s="334"/>
      <c r="DY25" s="334"/>
      <c r="DZ25" s="334"/>
      <c r="EA25" s="334"/>
      <c r="EB25" s="334"/>
      <c r="EC25" s="334"/>
      <c r="ED25" s="334"/>
      <c r="EE25" s="334"/>
      <c r="EF25" s="334"/>
      <c r="EG25" s="334"/>
      <c r="EH25" s="334"/>
      <c r="EI25" s="334"/>
      <c r="EJ25" s="334"/>
      <c r="EK25" s="334"/>
      <c r="EL25" s="334"/>
      <c r="EM25" s="334"/>
      <c r="EN25" s="334"/>
      <c r="EO25" s="334"/>
      <c r="EP25" s="334"/>
      <c r="EQ25" s="334"/>
      <c r="ER25" s="334"/>
      <c r="ES25" s="334"/>
      <c r="ET25" s="334"/>
      <c r="EU25" s="334"/>
      <c r="EV25" s="334"/>
      <c r="EW25" s="334"/>
      <c r="EX25" s="334"/>
      <c r="EY25" s="334"/>
      <c r="EZ25" s="334"/>
      <c r="FA25" s="334"/>
      <c r="FB25" s="334"/>
      <c r="FC25" s="334"/>
      <c r="FD25" s="334"/>
      <c r="FE25" s="334"/>
      <c r="FF25" s="334"/>
      <c r="FG25" s="334"/>
      <c r="FH25" s="334"/>
      <c r="FI25" s="334"/>
      <c r="FJ25" s="334"/>
      <c r="FK25" s="334"/>
      <c r="FL25" s="334"/>
      <c r="FM25" s="334"/>
      <c r="FN25" s="334"/>
      <c r="FO25" s="334"/>
      <c r="FP25" s="334"/>
      <c r="FQ25" s="334"/>
      <c r="FR25" s="334"/>
      <c r="FS25" s="334"/>
      <c r="FT25" s="334"/>
      <c r="FU25" s="334"/>
      <c r="FV25" s="334"/>
      <c r="FW25" s="334"/>
    </row>
    <row r="26" spans="1:179" s="319" customFormat="1" ht="13.2" x14ac:dyDescent="0.25">
      <c r="A26" s="483" t="s">
        <v>124</v>
      </c>
      <c r="B26" s="98"/>
      <c r="C26" s="98"/>
      <c r="D26" s="98"/>
      <c r="E26" s="98"/>
      <c r="F26" s="98"/>
      <c r="G26" s="98"/>
      <c r="H26" s="99"/>
      <c r="I26" s="99"/>
      <c r="J26" s="98"/>
      <c r="K26" s="98"/>
      <c r="L26" s="98"/>
      <c r="M26" s="98"/>
      <c r="N26" s="99"/>
      <c r="O26" s="245"/>
      <c r="P26" s="245"/>
      <c r="Q26" s="287"/>
      <c r="R26" s="287"/>
      <c r="S26" s="315"/>
      <c r="T26" s="287"/>
      <c r="U26" s="508">
        <v>29</v>
      </c>
      <c r="V26" s="515"/>
      <c r="W26" s="254"/>
      <c r="X26" s="99"/>
      <c r="Y26" s="99"/>
      <c r="Z26" s="84">
        <v>34</v>
      </c>
      <c r="AA26" s="84">
        <v>41</v>
      </c>
      <c r="AB26" s="84">
        <v>36</v>
      </c>
      <c r="AC26" s="84">
        <v>28</v>
      </c>
      <c r="AD26" s="84">
        <v>36</v>
      </c>
      <c r="AE26" s="84">
        <v>25</v>
      </c>
      <c r="AF26" s="100">
        <v>26</v>
      </c>
      <c r="AG26" s="202">
        <f t="shared" si="5"/>
        <v>0.04</v>
      </c>
      <c r="AH26" s="203">
        <f t="shared" si="6"/>
        <v>-0.36585365853658536</v>
      </c>
      <c r="AI26" s="204"/>
      <c r="AJ26" s="221">
        <f t="shared" si="8"/>
        <v>29</v>
      </c>
      <c r="AK26" s="331">
        <f t="shared" si="4"/>
        <v>19</v>
      </c>
      <c r="AO26" s="360"/>
      <c r="AS26" s="334"/>
      <c r="AT26" s="334"/>
      <c r="AU26" s="334"/>
      <c r="AV26" s="334"/>
      <c r="AW26" s="334"/>
      <c r="AX26" s="334"/>
      <c r="AY26" s="334"/>
      <c r="AZ26" s="334"/>
      <c r="BA26" s="334"/>
      <c r="BB26" s="334"/>
      <c r="BC26" s="334"/>
      <c r="BD26" s="334"/>
      <c r="BE26" s="334"/>
      <c r="BF26" s="334"/>
      <c r="BG26" s="334"/>
      <c r="BH26" s="334"/>
      <c r="BI26" s="334"/>
      <c r="BJ26" s="334"/>
      <c r="BK26" s="334"/>
      <c r="BL26" s="334"/>
      <c r="BM26" s="334"/>
      <c r="BN26" s="334"/>
      <c r="BO26" s="334"/>
      <c r="BP26" s="334"/>
      <c r="BQ26" s="334"/>
      <c r="BR26" s="334"/>
      <c r="BS26" s="334"/>
      <c r="BT26" s="334"/>
      <c r="BU26" s="334"/>
      <c r="BV26" s="334"/>
      <c r="BW26" s="334"/>
      <c r="BX26" s="334"/>
      <c r="BY26" s="334"/>
      <c r="BZ26" s="334"/>
      <c r="CA26" s="334"/>
      <c r="CB26" s="334"/>
      <c r="CC26" s="334"/>
      <c r="CD26" s="334"/>
      <c r="CE26" s="334"/>
      <c r="CF26" s="334"/>
      <c r="CG26" s="334"/>
      <c r="CH26" s="334"/>
      <c r="CI26" s="334"/>
      <c r="CJ26" s="334"/>
      <c r="CK26" s="334"/>
      <c r="CL26" s="334"/>
      <c r="CM26" s="334"/>
      <c r="CN26" s="334"/>
      <c r="CO26" s="334"/>
      <c r="CP26" s="334"/>
      <c r="CQ26" s="334"/>
      <c r="CR26" s="334"/>
      <c r="CS26" s="334"/>
      <c r="CT26" s="334"/>
      <c r="CU26" s="334"/>
      <c r="CV26" s="334"/>
      <c r="CW26" s="334"/>
      <c r="CX26" s="334"/>
      <c r="CY26" s="334"/>
      <c r="CZ26" s="334"/>
      <c r="DA26" s="334"/>
      <c r="DB26" s="334"/>
      <c r="DC26" s="334"/>
      <c r="DD26" s="334"/>
      <c r="DE26" s="334"/>
      <c r="DF26" s="334"/>
      <c r="DG26" s="334"/>
      <c r="DH26" s="334"/>
      <c r="DI26" s="334"/>
      <c r="DJ26" s="334"/>
      <c r="DK26" s="334"/>
      <c r="DL26" s="334"/>
      <c r="DM26" s="334"/>
      <c r="DN26" s="334"/>
      <c r="DO26" s="334"/>
      <c r="DP26" s="334"/>
      <c r="DQ26" s="334"/>
      <c r="DR26" s="334"/>
      <c r="DS26" s="334"/>
      <c r="DT26" s="334"/>
      <c r="DU26" s="334"/>
      <c r="DV26" s="334"/>
      <c r="DW26" s="334"/>
      <c r="DX26" s="334"/>
      <c r="DY26" s="334"/>
      <c r="DZ26" s="334"/>
      <c r="EA26" s="334"/>
      <c r="EB26" s="334"/>
      <c r="EC26" s="334"/>
      <c r="ED26" s="334"/>
      <c r="EE26" s="334"/>
      <c r="EF26" s="334"/>
      <c r="EG26" s="334"/>
      <c r="EH26" s="334"/>
      <c r="EI26" s="334"/>
      <c r="EJ26" s="334"/>
      <c r="EK26" s="334"/>
      <c r="EL26" s="334"/>
      <c r="EM26" s="334"/>
      <c r="EN26" s="334"/>
      <c r="EO26" s="334"/>
      <c r="EP26" s="334"/>
      <c r="EQ26" s="334"/>
      <c r="ER26" s="334"/>
      <c r="ES26" s="334"/>
      <c r="ET26" s="334"/>
      <c r="EU26" s="334"/>
      <c r="EV26" s="334"/>
      <c r="EW26" s="334"/>
      <c r="EX26" s="334"/>
      <c r="EY26" s="334"/>
      <c r="EZ26" s="334"/>
      <c r="FA26" s="334"/>
      <c r="FB26" s="334"/>
      <c r="FC26" s="334"/>
      <c r="FD26" s="334"/>
      <c r="FE26" s="334"/>
      <c r="FF26" s="334"/>
      <c r="FG26" s="334"/>
      <c r="FH26" s="334"/>
      <c r="FI26" s="334"/>
      <c r="FJ26" s="334"/>
      <c r="FK26" s="334"/>
      <c r="FL26" s="334"/>
      <c r="FM26" s="334"/>
      <c r="FN26" s="334"/>
      <c r="FO26" s="334"/>
      <c r="FP26" s="334"/>
      <c r="FQ26" s="334"/>
      <c r="FR26" s="334"/>
      <c r="FS26" s="334"/>
      <c r="FT26" s="334"/>
      <c r="FU26" s="334"/>
      <c r="FV26" s="334"/>
      <c r="FW26" s="334"/>
    </row>
    <row r="27" spans="1:179" s="319" customFormat="1" ht="14.4" x14ac:dyDescent="0.3">
      <c r="A27" s="357" t="s">
        <v>15</v>
      </c>
      <c r="B27" s="71"/>
      <c r="C27" s="71"/>
      <c r="D27" s="71"/>
      <c r="E27" s="71"/>
      <c r="F27" s="71"/>
      <c r="G27" s="71"/>
      <c r="H27" s="5"/>
      <c r="I27" s="5"/>
      <c r="J27" s="71"/>
      <c r="K27" s="71"/>
      <c r="L27" s="71">
        <v>1</v>
      </c>
      <c r="M27" s="71">
        <v>6</v>
      </c>
      <c r="N27" s="5">
        <v>9</v>
      </c>
      <c r="O27" s="239">
        <v>12</v>
      </c>
      <c r="P27" s="239">
        <v>11</v>
      </c>
      <c r="Q27" s="280">
        <v>11</v>
      </c>
      <c r="R27" s="280">
        <f>21+2</f>
        <v>23</v>
      </c>
      <c r="S27" s="311">
        <f>25+2</f>
        <v>27</v>
      </c>
      <c r="T27" s="280">
        <v>16</v>
      </c>
      <c r="U27" s="502">
        <f>17+1</f>
        <v>18</v>
      </c>
      <c r="V27" s="511">
        <v>15</v>
      </c>
      <c r="W27" s="249">
        <f>12+1</f>
        <v>13</v>
      </c>
      <c r="X27" s="5">
        <v>15</v>
      </c>
      <c r="Y27" s="5">
        <v>17</v>
      </c>
      <c r="Z27" s="72">
        <v>19</v>
      </c>
      <c r="AA27" s="72">
        <v>23</v>
      </c>
      <c r="AB27" s="72">
        <v>13</v>
      </c>
      <c r="AC27" s="72">
        <v>12</v>
      </c>
      <c r="AD27" s="72">
        <v>12</v>
      </c>
      <c r="AE27" s="72">
        <v>9</v>
      </c>
      <c r="AF27" s="73">
        <v>4</v>
      </c>
      <c r="AG27" s="205" t="str">
        <f t="shared" si="5"/>
        <v xml:space="preserve"> </v>
      </c>
      <c r="AH27" s="206" t="str">
        <f t="shared" si="6"/>
        <v xml:space="preserve"> </v>
      </c>
      <c r="AI27" s="207" t="str">
        <f t="shared" si="7"/>
        <v xml:space="preserve"> </v>
      </c>
      <c r="AJ27" s="120">
        <f t="shared" si="8"/>
        <v>8.3333333333333339</v>
      </c>
      <c r="AK27" s="320">
        <f t="shared" si="4"/>
        <v>43</v>
      </c>
      <c r="AO27" s="360" t="s">
        <v>56</v>
      </c>
      <c r="AS27" s="334"/>
      <c r="AT27" s="334"/>
      <c r="AU27" s="334"/>
      <c r="AV27" s="334"/>
      <c r="AW27" s="334"/>
      <c r="AX27" s="334"/>
      <c r="AY27" s="334"/>
      <c r="AZ27" s="334"/>
      <c r="BA27" s="334"/>
      <c r="BB27" s="334"/>
      <c r="BC27" s="334"/>
      <c r="BD27" s="334"/>
      <c r="BE27" s="334"/>
      <c r="BF27" s="334"/>
      <c r="BG27" s="334"/>
      <c r="BH27" s="334"/>
      <c r="BI27" s="334"/>
      <c r="BJ27" s="334"/>
      <c r="BK27" s="334"/>
      <c r="BL27" s="334"/>
      <c r="BM27" s="334"/>
      <c r="BN27" s="334"/>
      <c r="BO27" s="334"/>
      <c r="BP27" s="334"/>
      <c r="BQ27" s="334"/>
      <c r="BR27" s="334"/>
      <c r="BS27" s="334"/>
      <c r="BT27" s="334"/>
      <c r="BU27" s="334"/>
      <c r="BV27" s="334"/>
      <c r="BW27" s="334"/>
      <c r="BX27" s="334"/>
      <c r="BY27" s="334"/>
      <c r="BZ27" s="334"/>
      <c r="CA27" s="334"/>
      <c r="CB27" s="334"/>
      <c r="CC27" s="334"/>
      <c r="CD27" s="334"/>
      <c r="CE27" s="334"/>
      <c r="CF27" s="334"/>
      <c r="CG27" s="334"/>
      <c r="CH27" s="334"/>
      <c r="CI27" s="334"/>
      <c r="CJ27" s="334"/>
      <c r="CK27" s="334"/>
      <c r="CL27" s="334"/>
      <c r="CM27" s="334"/>
      <c r="CN27" s="334"/>
      <c r="CO27" s="334"/>
      <c r="CP27" s="334"/>
      <c r="CQ27" s="334"/>
      <c r="CR27" s="334"/>
      <c r="CS27" s="334"/>
      <c r="CT27" s="334"/>
      <c r="CU27" s="334"/>
      <c r="CV27" s="334"/>
      <c r="CW27" s="334"/>
      <c r="CX27" s="334"/>
      <c r="CY27" s="334"/>
      <c r="CZ27" s="334"/>
      <c r="DA27" s="334"/>
      <c r="DB27" s="334"/>
      <c r="DC27" s="334"/>
      <c r="DD27" s="334"/>
      <c r="DE27" s="334"/>
      <c r="DF27" s="334"/>
      <c r="DG27" s="334"/>
      <c r="DH27" s="334"/>
      <c r="DI27" s="334"/>
      <c r="DJ27" s="334"/>
      <c r="DK27" s="334"/>
      <c r="DL27" s="334"/>
      <c r="DM27" s="334"/>
      <c r="DN27" s="334"/>
      <c r="DO27" s="334"/>
      <c r="DP27" s="334"/>
      <c r="DQ27" s="334"/>
      <c r="DR27" s="334"/>
      <c r="DS27" s="334"/>
      <c r="DT27" s="334"/>
      <c r="DU27" s="334"/>
      <c r="DV27" s="334"/>
      <c r="DW27" s="334"/>
      <c r="DX27" s="334"/>
      <c r="DY27" s="334"/>
      <c r="DZ27" s="334"/>
      <c r="EA27" s="334"/>
      <c r="EB27" s="334"/>
      <c r="EC27" s="334"/>
      <c r="ED27" s="334"/>
      <c r="EE27" s="334"/>
      <c r="EF27" s="334"/>
      <c r="EG27" s="334"/>
      <c r="EH27" s="334"/>
      <c r="EI27" s="334"/>
      <c r="EJ27" s="334"/>
      <c r="EK27" s="334"/>
      <c r="EL27" s="334"/>
      <c r="EM27" s="334"/>
      <c r="EN27" s="334"/>
      <c r="EO27" s="334"/>
      <c r="EP27" s="334"/>
      <c r="EQ27" s="334"/>
      <c r="ER27" s="334"/>
      <c r="ES27" s="334"/>
      <c r="ET27" s="334"/>
      <c r="EU27" s="334"/>
      <c r="EV27" s="334"/>
      <c r="EW27" s="334"/>
      <c r="EX27" s="334"/>
      <c r="EY27" s="334"/>
      <c r="EZ27" s="334"/>
      <c r="FA27" s="334"/>
      <c r="FB27" s="334"/>
      <c r="FC27" s="334"/>
      <c r="FD27" s="334"/>
      <c r="FE27" s="334"/>
      <c r="FF27" s="334"/>
      <c r="FG27" s="334"/>
      <c r="FH27" s="334"/>
      <c r="FI27" s="334"/>
      <c r="FJ27" s="334"/>
      <c r="FK27" s="334"/>
      <c r="FL27" s="334"/>
      <c r="FM27" s="334"/>
      <c r="FN27" s="334"/>
      <c r="FO27" s="334"/>
      <c r="FP27" s="334"/>
      <c r="FQ27" s="334"/>
      <c r="FR27" s="334"/>
      <c r="FS27" s="334"/>
      <c r="FT27" s="334"/>
      <c r="FU27" s="334"/>
      <c r="FV27" s="334"/>
      <c r="FW27" s="334"/>
    </row>
    <row r="28" spans="1:179" s="319" customFormat="1" ht="13.2" x14ac:dyDescent="0.25">
      <c r="A28" s="361" t="s">
        <v>19</v>
      </c>
      <c r="B28" s="71">
        <v>2</v>
      </c>
      <c r="C28" s="71">
        <v>7</v>
      </c>
      <c r="D28" s="71">
        <v>6</v>
      </c>
      <c r="E28" s="71">
        <v>5</v>
      </c>
      <c r="F28" s="71">
        <v>4</v>
      </c>
      <c r="G28" s="71">
        <v>1</v>
      </c>
      <c r="H28" s="5">
        <v>5</v>
      </c>
      <c r="I28" s="5">
        <v>8</v>
      </c>
      <c r="J28" s="71">
        <v>9</v>
      </c>
      <c r="K28" s="71">
        <v>2</v>
      </c>
      <c r="L28" s="71">
        <v>5</v>
      </c>
      <c r="M28" s="71">
        <v>6</v>
      </c>
      <c r="N28" s="5">
        <v>2</v>
      </c>
      <c r="O28" s="239">
        <v>6</v>
      </c>
      <c r="P28" s="239">
        <v>7</v>
      </c>
      <c r="Q28" s="280">
        <v>9</v>
      </c>
      <c r="R28" s="280">
        <v>7</v>
      </c>
      <c r="S28" s="311">
        <v>10</v>
      </c>
      <c r="T28" s="280">
        <v>5</v>
      </c>
      <c r="U28" s="502">
        <v>9</v>
      </c>
      <c r="V28" s="511">
        <v>18</v>
      </c>
      <c r="W28" s="249">
        <v>8</v>
      </c>
      <c r="X28" s="5">
        <v>10</v>
      </c>
      <c r="Y28" s="5">
        <v>12</v>
      </c>
      <c r="Z28" s="72">
        <v>13</v>
      </c>
      <c r="AA28" s="72">
        <v>7</v>
      </c>
      <c r="AB28" s="72">
        <v>18</v>
      </c>
      <c r="AC28" s="72">
        <v>5</v>
      </c>
      <c r="AD28" s="72">
        <v>4</v>
      </c>
      <c r="AE28" s="72">
        <v>10</v>
      </c>
      <c r="AF28" s="73">
        <v>7</v>
      </c>
      <c r="AG28" s="205" t="str">
        <f t="shared" si="5"/>
        <v xml:space="preserve"> </v>
      </c>
      <c r="AH28" s="206" t="str">
        <f t="shared" si="6"/>
        <v xml:space="preserve"> </v>
      </c>
      <c r="AI28" s="207" t="str">
        <f t="shared" si="7"/>
        <v xml:space="preserve"> </v>
      </c>
      <c r="AJ28" s="120">
        <f t="shared" si="8"/>
        <v>7</v>
      </c>
      <c r="AK28" s="331">
        <f t="shared" si="4"/>
        <v>35</v>
      </c>
      <c r="AS28" s="334"/>
      <c r="AT28" s="334"/>
      <c r="AU28" s="334"/>
      <c r="AV28" s="334"/>
      <c r="AW28" s="334"/>
      <c r="AX28" s="334"/>
      <c r="AY28" s="334"/>
      <c r="AZ28" s="334"/>
      <c r="BA28" s="334"/>
      <c r="BB28" s="334"/>
      <c r="BC28" s="334"/>
      <c r="BD28" s="334"/>
      <c r="BE28" s="334"/>
      <c r="BF28" s="334"/>
      <c r="BG28" s="334"/>
      <c r="BH28" s="334"/>
      <c r="BI28" s="334"/>
      <c r="BJ28" s="334"/>
      <c r="BK28" s="334"/>
      <c r="BL28" s="334"/>
      <c r="BM28" s="334"/>
      <c r="BN28" s="334"/>
      <c r="BO28" s="334"/>
      <c r="BP28" s="334"/>
      <c r="BQ28" s="334"/>
      <c r="BR28" s="334"/>
      <c r="BS28" s="334"/>
      <c r="BT28" s="334"/>
      <c r="BU28" s="334"/>
      <c r="BV28" s="334"/>
      <c r="BW28" s="334"/>
      <c r="BX28" s="334"/>
      <c r="BY28" s="334"/>
      <c r="BZ28" s="334"/>
      <c r="CA28" s="334"/>
      <c r="CB28" s="334"/>
      <c r="CC28" s="334"/>
      <c r="CD28" s="334"/>
      <c r="CE28" s="334"/>
      <c r="CF28" s="334"/>
      <c r="CG28" s="334"/>
      <c r="CH28" s="334"/>
      <c r="CI28" s="334"/>
      <c r="CJ28" s="334"/>
      <c r="CK28" s="334"/>
      <c r="CL28" s="334"/>
      <c r="CM28" s="334"/>
      <c r="CN28" s="334"/>
      <c r="CO28" s="334"/>
      <c r="CP28" s="334"/>
      <c r="CQ28" s="334"/>
      <c r="CR28" s="334"/>
      <c r="CS28" s="334"/>
      <c r="CT28" s="334"/>
      <c r="CU28" s="334"/>
      <c r="CV28" s="334"/>
      <c r="CW28" s="334"/>
      <c r="CX28" s="334"/>
      <c r="CY28" s="334"/>
      <c r="CZ28" s="334"/>
      <c r="DA28" s="334"/>
      <c r="DB28" s="334"/>
      <c r="DC28" s="334"/>
      <c r="DD28" s="334"/>
      <c r="DE28" s="334"/>
      <c r="DF28" s="334"/>
      <c r="DG28" s="334"/>
      <c r="DH28" s="334"/>
      <c r="DI28" s="334"/>
      <c r="DJ28" s="334"/>
      <c r="DK28" s="334"/>
      <c r="DL28" s="334"/>
      <c r="DM28" s="334"/>
      <c r="DN28" s="334"/>
      <c r="DO28" s="334"/>
      <c r="DP28" s="334"/>
      <c r="DQ28" s="334"/>
      <c r="DR28" s="334"/>
      <c r="DS28" s="334"/>
      <c r="DT28" s="334"/>
      <c r="DU28" s="334"/>
      <c r="DV28" s="334"/>
      <c r="DW28" s="334"/>
      <c r="DX28" s="334"/>
      <c r="DY28" s="334"/>
      <c r="DZ28" s="334"/>
      <c r="EA28" s="334"/>
      <c r="EB28" s="334"/>
      <c r="EC28" s="334"/>
      <c r="ED28" s="334"/>
      <c r="EE28" s="334"/>
      <c r="EF28" s="334"/>
      <c r="EG28" s="334"/>
      <c r="EH28" s="334"/>
      <c r="EI28" s="334"/>
      <c r="EJ28" s="334"/>
      <c r="EK28" s="334"/>
      <c r="EL28" s="334"/>
      <c r="EM28" s="334"/>
      <c r="EN28" s="334"/>
      <c r="EO28" s="334"/>
      <c r="EP28" s="334"/>
      <c r="EQ28" s="334"/>
      <c r="ER28" s="334"/>
      <c r="ES28" s="334"/>
      <c r="ET28" s="334"/>
      <c r="EU28" s="334"/>
      <c r="EV28" s="334"/>
      <c r="EW28" s="334"/>
      <c r="EX28" s="334"/>
      <c r="EY28" s="334"/>
      <c r="EZ28" s="334"/>
      <c r="FA28" s="334"/>
      <c r="FB28" s="334"/>
      <c r="FC28" s="334"/>
      <c r="FD28" s="334"/>
      <c r="FE28" s="334"/>
      <c r="FF28" s="334"/>
      <c r="FG28" s="334"/>
      <c r="FH28" s="334"/>
      <c r="FI28" s="334"/>
      <c r="FJ28" s="334"/>
      <c r="FK28" s="334"/>
      <c r="FL28" s="334"/>
      <c r="FM28" s="334"/>
      <c r="FN28" s="334"/>
      <c r="FO28" s="334"/>
      <c r="FP28" s="334"/>
      <c r="FQ28" s="334"/>
      <c r="FR28" s="334"/>
      <c r="FS28" s="334"/>
      <c r="FT28" s="334"/>
      <c r="FU28" s="334"/>
      <c r="FV28" s="334"/>
      <c r="FW28" s="334"/>
    </row>
    <row r="29" spans="1:179" s="319" customFormat="1" ht="14.4" x14ac:dyDescent="0.3">
      <c r="A29" s="361" t="s">
        <v>20</v>
      </c>
      <c r="B29" s="71">
        <v>11</v>
      </c>
      <c r="C29" s="71">
        <v>7</v>
      </c>
      <c r="D29" s="71">
        <v>10</v>
      </c>
      <c r="E29" s="71">
        <v>11</v>
      </c>
      <c r="F29" s="71">
        <v>12</v>
      </c>
      <c r="G29" s="71">
        <v>6</v>
      </c>
      <c r="H29" s="5">
        <v>9</v>
      </c>
      <c r="I29" s="5">
        <v>22</v>
      </c>
      <c r="J29" s="71">
        <v>16</v>
      </c>
      <c r="K29" s="71">
        <v>17</v>
      </c>
      <c r="L29" s="71">
        <v>4</v>
      </c>
      <c r="M29" s="71">
        <v>18</v>
      </c>
      <c r="N29" s="5">
        <v>14</v>
      </c>
      <c r="O29" s="239">
        <v>19</v>
      </c>
      <c r="P29" s="239">
        <v>14</v>
      </c>
      <c r="Q29" s="280">
        <v>14</v>
      </c>
      <c r="R29" s="280">
        <v>12</v>
      </c>
      <c r="S29" s="311">
        <f>7+1</f>
        <v>8</v>
      </c>
      <c r="T29" s="280">
        <v>9</v>
      </c>
      <c r="U29" s="502">
        <v>11</v>
      </c>
      <c r="V29" s="511">
        <v>8</v>
      </c>
      <c r="W29" s="249">
        <f>1+1</f>
        <v>2</v>
      </c>
      <c r="X29" s="5">
        <v>5</v>
      </c>
      <c r="Y29" s="5">
        <v>4</v>
      </c>
      <c r="Z29" s="72">
        <v>7</v>
      </c>
      <c r="AA29" s="72">
        <v>3</v>
      </c>
      <c r="AB29" s="72">
        <v>5</v>
      </c>
      <c r="AC29" s="72">
        <v>3</v>
      </c>
      <c r="AD29" s="72">
        <v>10</v>
      </c>
      <c r="AE29" s="72">
        <v>12</v>
      </c>
      <c r="AF29" s="73">
        <f>3+1</f>
        <v>4</v>
      </c>
      <c r="AG29" s="205" t="str">
        <f t="shared" si="5"/>
        <v xml:space="preserve"> </v>
      </c>
      <c r="AH29" s="206" t="str">
        <f t="shared" si="6"/>
        <v xml:space="preserve"> </v>
      </c>
      <c r="AI29" s="207" t="str">
        <f t="shared" si="7"/>
        <v xml:space="preserve"> </v>
      </c>
      <c r="AJ29" s="120">
        <f t="shared" si="8"/>
        <v>8.6666666666666661</v>
      </c>
      <c r="AK29" s="320">
        <f t="shared" si="4"/>
        <v>43</v>
      </c>
      <c r="AS29" s="334"/>
      <c r="AT29" s="334"/>
      <c r="AU29" s="334"/>
      <c r="AV29" s="334"/>
      <c r="AW29" s="334"/>
      <c r="AX29" s="334"/>
      <c r="AY29" s="334"/>
      <c r="AZ29" s="334"/>
      <c r="BA29" s="334"/>
      <c r="BB29" s="334"/>
      <c r="BC29" s="334"/>
      <c r="BD29" s="334"/>
      <c r="BE29" s="334"/>
      <c r="BF29" s="334"/>
      <c r="BG29" s="334"/>
      <c r="BH29" s="334"/>
      <c r="BI29" s="334"/>
      <c r="BJ29" s="334"/>
      <c r="BK29" s="334"/>
      <c r="BL29" s="334"/>
      <c r="BM29" s="334"/>
      <c r="BN29" s="334"/>
      <c r="BO29" s="334"/>
      <c r="BP29" s="334"/>
      <c r="BQ29" s="334"/>
      <c r="BR29" s="334"/>
      <c r="BS29" s="334"/>
      <c r="BT29" s="334"/>
      <c r="BU29" s="334"/>
      <c r="BV29" s="334"/>
      <c r="BW29" s="334"/>
      <c r="BX29" s="334"/>
      <c r="BY29" s="334"/>
      <c r="BZ29" s="334"/>
      <c r="CA29" s="334"/>
      <c r="CB29" s="334"/>
      <c r="CC29" s="334"/>
      <c r="CD29" s="334"/>
      <c r="CE29" s="334"/>
      <c r="CF29" s="334"/>
      <c r="CG29" s="334"/>
      <c r="CH29" s="334"/>
      <c r="CI29" s="334"/>
      <c r="CJ29" s="334"/>
      <c r="CK29" s="334"/>
      <c r="CL29" s="334"/>
      <c r="CM29" s="334"/>
      <c r="CN29" s="334"/>
      <c r="CO29" s="334"/>
      <c r="CP29" s="334"/>
      <c r="CQ29" s="334"/>
      <c r="CR29" s="334"/>
      <c r="CS29" s="334"/>
      <c r="CT29" s="334"/>
      <c r="CU29" s="334"/>
      <c r="CV29" s="334"/>
      <c r="CW29" s="334"/>
      <c r="CX29" s="334"/>
      <c r="CY29" s="334"/>
      <c r="CZ29" s="334"/>
      <c r="DA29" s="334"/>
      <c r="DB29" s="334"/>
      <c r="DC29" s="334"/>
      <c r="DD29" s="334"/>
      <c r="DE29" s="334"/>
      <c r="DF29" s="334"/>
      <c r="DG29" s="334"/>
      <c r="DH29" s="334"/>
      <c r="DI29" s="334"/>
      <c r="DJ29" s="334"/>
      <c r="DK29" s="334"/>
      <c r="DL29" s="334"/>
      <c r="DM29" s="334"/>
      <c r="DN29" s="334"/>
      <c r="DO29" s="334"/>
      <c r="DP29" s="334"/>
      <c r="DQ29" s="334"/>
      <c r="DR29" s="334"/>
      <c r="DS29" s="334"/>
      <c r="DT29" s="334"/>
      <c r="DU29" s="334"/>
      <c r="DV29" s="334"/>
      <c r="DW29" s="334"/>
      <c r="DX29" s="334"/>
      <c r="DY29" s="334"/>
      <c r="DZ29" s="334"/>
      <c r="EA29" s="334"/>
      <c r="EB29" s="334"/>
      <c r="EC29" s="334"/>
      <c r="ED29" s="334"/>
      <c r="EE29" s="334"/>
      <c r="EF29" s="334"/>
      <c r="EG29" s="334"/>
      <c r="EH29" s="334"/>
      <c r="EI29" s="334"/>
      <c r="EJ29" s="334"/>
      <c r="EK29" s="334"/>
      <c r="EL29" s="334"/>
      <c r="EM29" s="334"/>
      <c r="EN29" s="334"/>
      <c r="EO29" s="334"/>
      <c r="EP29" s="334"/>
      <c r="EQ29" s="334"/>
      <c r="ER29" s="334"/>
      <c r="ES29" s="334"/>
      <c r="ET29" s="334"/>
      <c r="EU29" s="334"/>
      <c r="EV29" s="334"/>
      <c r="EW29" s="334"/>
      <c r="EX29" s="334"/>
      <c r="EY29" s="334"/>
      <c r="EZ29" s="334"/>
      <c r="FA29" s="334"/>
      <c r="FB29" s="334"/>
      <c r="FC29" s="334"/>
      <c r="FD29" s="334"/>
      <c r="FE29" s="334"/>
      <c r="FF29" s="334"/>
      <c r="FG29" s="334"/>
      <c r="FH29" s="334"/>
      <c r="FI29" s="334"/>
      <c r="FJ29" s="334"/>
      <c r="FK29" s="334"/>
      <c r="FL29" s="334"/>
      <c r="FM29" s="334"/>
      <c r="FN29" s="334"/>
      <c r="FO29" s="334"/>
      <c r="FP29" s="334"/>
      <c r="FQ29" s="334"/>
      <c r="FR29" s="334"/>
      <c r="FS29" s="334"/>
      <c r="FT29" s="334"/>
      <c r="FU29" s="334"/>
      <c r="FV29" s="334"/>
      <c r="FW29" s="334"/>
    </row>
    <row r="30" spans="1:179" ht="13.2" x14ac:dyDescent="0.25">
      <c r="A30" s="351" t="s">
        <v>23</v>
      </c>
      <c r="B30" s="74">
        <v>22</v>
      </c>
      <c r="C30" s="74">
        <v>27</v>
      </c>
      <c r="D30" s="74">
        <v>27</v>
      </c>
      <c r="E30" s="74">
        <v>25</v>
      </c>
      <c r="F30" s="74">
        <v>25</v>
      </c>
      <c r="G30" s="74">
        <v>28</v>
      </c>
      <c r="H30" s="7">
        <v>33</v>
      </c>
      <c r="I30" s="7">
        <v>25</v>
      </c>
      <c r="J30" s="74">
        <v>25</v>
      </c>
      <c r="K30" s="74">
        <v>25</v>
      </c>
      <c r="L30" s="74">
        <v>31</v>
      </c>
      <c r="M30" s="74">
        <v>30</v>
      </c>
      <c r="N30" s="7">
        <v>33</v>
      </c>
      <c r="O30" s="240">
        <v>26</v>
      </c>
      <c r="P30" s="240">
        <v>32</v>
      </c>
      <c r="Q30" s="281">
        <v>28</v>
      </c>
      <c r="R30" s="281">
        <v>34</v>
      </c>
      <c r="S30" s="312">
        <f>34+1</f>
        <v>35</v>
      </c>
      <c r="T30" s="281">
        <v>37</v>
      </c>
      <c r="U30" s="503">
        <f>33+1</f>
        <v>34</v>
      </c>
      <c r="V30" s="512">
        <v>33</v>
      </c>
      <c r="W30" s="250">
        <f>20+1</f>
        <v>21</v>
      </c>
      <c r="X30" s="7">
        <v>23</v>
      </c>
      <c r="Y30" s="7">
        <v>38</v>
      </c>
      <c r="Z30" s="75">
        <v>34</v>
      </c>
      <c r="AA30" s="75">
        <v>32</v>
      </c>
      <c r="AB30" s="75">
        <v>37</v>
      </c>
      <c r="AC30" s="75">
        <v>17</v>
      </c>
      <c r="AD30" s="75">
        <v>26</v>
      </c>
      <c r="AE30" s="75">
        <v>25</v>
      </c>
      <c r="AF30" s="76">
        <f>23+1</f>
        <v>24</v>
      </c>
      <c r="AG30" s="208">
        <f t="shared" si="5"/>
        <v>-0.04</v>
      </c>
      <c r="AH30" s="209">
        <f t="shared" si="6"/>
        <v>-0.25</v>
      </c>
      <c r="AI30" s="210">
        <f t="shared" si="7"/>
        <v>-0.27272727272727271</v>
      </c>
      <c r="AJ30" s="222">
        <f t="shared" si="8"/>
        <v>25</v>
      </c>
      <c r="AK30" s="331">
        <f t="shared" si="4"/>
        <v>20</v>
      </c>
    </row>
    <row r="31" spans="1:179" ht="14.4" x14ac:dyDescent="0.3">
      <c r="A31" s="361" t="s">
        <v>24</v>
      </c>
      <c r="B31" s="71">
        <v>67</v>
      </c>
      <c r="C31" s="71">
        <v>74</v>
      </c>
      <c r="D31" s="71">
        <v>67</v>
      </c>
      <c r="E31" s="71">
        <v>81</v>
      </c>
      <c r="F31" s="71">
        <v>67</v>
      </c>
      <c r="G31" s="71">
        <v>71</v>
      </c>
      <c r="H31" s="5">
        <v>85</v>
      </c>
      <c r="I31" s="5">
        <v>79</v>
      </c>
      <c r="J31" s="71">
        <v>58</v>
      </c>
      <c r="K31" s="71">
        <v>84</v>
      </c>
      <c r="L31" s="71">
        <v>78</v>
      </c>
      <c r="M31" s="71">
        <v>71</v>
      </c>
      <c r="N31" s="5">
        <v>91</v>
      </c>
      <c r="O31" s="239">
        <v>106</v>
      </c>
      <c r="P31" s="239">
        <v>99</v>
      </c>
      <c r="Q31" s="280">
        <v>117</v>
      </c>
      <c r="R31" s="280">
        <v>120</v>
      </c>
      <c r="S31" s="311">
        <f>119+1</f>
        <v>120</v>
      </c>
      <c r="T31" s="280">
        <v>165</v>
      </c>
      <c r="U31" s="502">
        <f>121+4</f>
        <v>125</v>
      </c>
      <c r="V31" s="511">
        <v>144</v>
      </c>
      <c r="W31" s="249">
        <f>135+5</f>
        <v>140</v>
      </c>
      <c r="X31" s="5">
        <v>137</v>
      </c>
      <c r="Y31" s="5">
        <v>118</v>
      </c>
      <c r="Z31" s="72">
        <v>138</v>
      </c>
      <c r="AA31" s="72">
        <v>113</v>
      </c>
      <c r="AB31" s="72">
        <v>155</v>
      </c>
      <c r="AC31" s="72">
        <v>143</v>
      </c>
      <c r="AD31" s="72">
        <v>126</v>
      </c>
      <c r="AE31" s="72">
        <v>106</v>
      </c>
      <c r="AF31" s="73">
        <f>82+3</f>
        <v>85</v>
      </c>
      <c r="AG31" s="205">
        <f t="shared" si="5"/>
        <v>-0.19811320754716982</v>
      </c>
      <c r="AH31" s="206">
        <f t="shared" si="6"/>
        <v>-0.24778761061946902</v>
      </c>
      <c r="AI31" s="207">
        <f t="shared" si="7"/>
        <v>-0.40972222222222221</v>
      </c>
      <c r="AJ31" s="120">
        <f t="shared" si="8"/>
        <v>105.66666666666667</v>
      </c>
      <c r="AK31" s="595">
        <f t="shared" si="4"/>
        <v>3</v>
      </c>
    </row>
    <row r="32" spans="1:179" ht="13.2" x14ac:dyDescent="0.25">
      <c r="A32" s="361" t="s">
        <v>26</v>
      </c>
      <c r="B32" s="71">
        <v>16</v>
      </c>
      <c r="C32" s="71">
        <v>16</v>
      </c>
      <c r="D32" s="71">
        <v>17</v>
      </c>
      <c r="E32" s="71">
        <v>16</v>
      </c>
      <c r="F32" s="71">
        <v>8</v>
      </c>
      <c r="G32" s="71">
        <v>16</v>
      </c>
      <c r="H32" s="5">
        <v>16</v>
      </c>
      <c r="I32" s="5">
        <v>12</v>
      </c>
      <c r="J32" s="71">
        <v>7</v>
      </c>
      <c r="K32" s="71">
        <v>5</v>
      </c>
      <c r="L32" s="71">
        <v>10</v>
      </c>
      <c r="M32" s="71">
        <v>7</v>
      </c>
      <c r="N32" s="5">
        <v>9</v>
      </c>
      <c r="O32" s="239">
        <v>11</v>
      </c>
      <c r="P32" s="239">
        <v>18</v>
      </c>
      <c r="Q32" s="280">
        <v>15</v>
      </c>
      <c r="R32" s="280">
        <v>21</v>
      </c>
      <c r="S32" s="311">
        <v>16</v>
      </c>
      <c r="T32" s="280">
        <v>12</v>
      </c>
      <c r="U32" s="502">
        <v>9</v>
      </c>
      <c r="V32" s="511">
        <v>20</v>
      </c>
      <c r="W32" s="249">
        <v>18</v>
      </c>
      <c r="X32" s="5">
        <v>13</v>
      </c>
      <c r="Y32" s="5">
        <v>17</v>
      </c>
      <c r="Z32" s="72">
        <v>14</v>
      </c>
      <c r="AA32" s="72">
        <v>11</v>
      </c>
      <c r="AB32" s="72">
        <v>23</v>
      </c>
      <c r="AC32" s="72">
        <v>11</v>
      </c>
      <c r="AD32" s="72">
        <v>15</v>
      </c>
      <c r="AE32" s="72">
        <v>8</v>
      </c>
      <c r="AF32" s="73">
        <v>7</v>
      </c>
      <c r="AG32" s="205" t="str">
        <f t="shared" si="5"/>
        <v xml:space="preserve"> </v>
      </c>
      <c r="AH32" s="206" t="str">
        <f t="shared" si="6"/>
        <v xml:space="preserve"> </v>
      </c>
      <c r="AI32" s="207" t="str">
        <f t="shared" si="7"/>
        <v xml:space="preserve"> </v>
      </c>
      <c r="AJ32" s="120">
        <f t="shared" si="8"/>
        <v>10</v>
      </c>
      <c r="AK32" s="331">
        <f t="shared" si="4"/>
        <v>35</v>
      </c>
    </row>
    <row r="33" spans="1:38" ht="13.2" x14ac:dyDescent="0.25">
      <c r="A33" s="361" t="s">
        <v>27</v>
      </c>
      <c r="B33" s="71">
        <v>1</v>
      </c>
      <c r="C33" s="71">
        <v>0</v>
      </c>
      <c r="D33" s="71">
        <v>3</v>
      </c>
      <c r="E33" s="71">
        <v>5</v>
      </c>
      <c r="F33" s="71">
        <v>4</v>
      </c>
      <c r="G33" s="71">
        <v>6</v>
      </c>
      <c r="H33" s="5">
        <v>8</v>
      </c>
      <c r="I33" s="5">
        <v>12</v>
      </c>
      <c r="J33" s="71">
        <v>13</v>
      </c>
      <c r="K33" s="71">
        <v>8</v>
      </c>
      <c r="L33" s="71">
        <v>11</v>
      </c>
      <c r="M33" s="71">
        <v>16</v>
      </c>
      <c r="N33" s="5">
        <v>27</v>
      </c>
      <c r="O33" s="239">
        <v>17</v>
      </c>
      <c r="P33" s="239">
        <v>12</v>
      </c>
      <c r="Q33" s="280">
        <v>11</v>
      </c>
      <c r="R33" s="280">
        <v>6</v>
      </c>
      <c r="S33" s="311">
        <f>6+7</f>
        <v>13</v>
      </c>
      <c r="T33" s="280">
        <v>13</v>
      </c>
      <c r="U33" s="502">
        <f>9+2</f>
        <v>11</v>
      </c>
      <c r="V33" s="511">
        <v>11</v>
      </c>
      <c r="W33" s="249">
        <f>9+5</f>
        <v>14</v>
      </c>
      <c r="X33" s="5">
        <v>7</v>
      </c>
      <c r="Y33" s="5">
        <v>9</v>
      </c>
      <c r="Z33" s="72">
        <v>6</v>
      </c>
      <c r="AA33" s="72">
        <v>7</v>
      </c>
      <c r="AB33" s="72">
        <v>10</v>
      </c>
      <c r="AC33" s="72">
        <v>6</v>
      </c>
      <c r="AD33" s="72">
        <v>4</v>
      </c>
      <c r="AE33" s="72">
        <v>4</v>
      </c>
      <c r="AF33" s="73">
        <f>3+5</f>
        <v>8</v>
      </c>
      <c r="AG33" s="205" t="str">
        <f t="shared" si="5"/>
        <v xml:space="preserve"> </v>
      </c>
      <c r="AH33" s="206" t="str">
        <f t="shared" si="6"/>
        <v xml:space="preserve"> </v>
      </c>
      <c r="AI33" s="207" t="str">
        <f t="shared" si="7"/>
        <v xml:space="preserve"> </v>
      </c>
      <c r="AJ33" s="120">
        <f t="shared" si="8"/>
        <v>5.333333333333333</v>
      </c>
      <c r="AK33" s="331">
        <f t="shared" si="4"/>
        <v>34</v>
      </c>
    </row>
    <row r="34" spans="1:38" ht="13.2" x14ac:dyDescent="0.25">
      <c r="A34" s="361" t="s">
        <v>28</v>
      </c>
      <c r="B34" s="71"/>
      <c r="C34" s="71"/>
      <c r="D34" s="71"/>
      <c r="E34" s="71"/>
      <c r="F34" s="71"/>
      <c r="G34" s="71"/>
      <c r="H34" s="5"/>
      <c r="I34" s="5">
        <v>2</v>
      </c>
      <c r="J34" s="71">
        <v>6</v>
      </c>
      <c r="K34" s="71">
        <v>1</v>
      </c>
      <c r="L34" s="71">
        <v>5</v>
      </c>
      <c r="M34" s="71">
        <v>7</v>
      </c>
      <c r="N34" s="5">
        <v>5</v>
      </c>
      <c r="O34" s="239">
        <v>8</v>
      </c>
      <c r="P34" s="239">
        <v>9</v>
      </c>
      <c r="Q34" s="280">
        <v>4</v>
      </c>
      <c r="R34" s="280">
        <v>8</v>
      </c>
      <c r="S34" s="311">
        <v>6</v>
      </c>
      <c r="T34" s="280">
        <v>10</v>
      </c>
      <c r="U34" s="502">
        <v>12</v>
      </c>
      <c r="V34" s="511">
        <v>8</v>
      </c>
      <c r="W34" s="249">
        <v>5</v>
      </c>
      <c r="X34" s="5">
        <v>12</v>
      </c>
      <c r="Y34" s="5">
        <v>6</v>
      </c>
      <c r="Z34" s="72">
        <v>14</v>
      </c>
      <c r="AA34" s="72">
        <v>7</v>
      </c>
      <c r="AB34" s="72">
        <v>10</v>
      </c>
      <c r="AC34" s="72">
        <v>4</v>
      </c>
      <c r="AD34" s="72">
        <v>7</v>
      </c>
      <c r="AE34" s="72">
        <v>2</v>
      </c>
      <c r="AF34" s="73">
        <f>5+1</f>
        <v>6</v>
      </c>
      <c r="AG34" s="205" t="str">
        <f t="shared" si="5"/>
        <v xml:space="preserve"> </v>
      </c>
      <c r="AH34" s="206" t="str">
        <f t="shared" si="6"/>
        <v xml:space="preserve"> </v>
      </c>
      <c r="AI34" s="207" t="str">
        <f t="shared" si="7"/>
        <v xml:space="preserve"> </v>
      </c>
      <c r="AJ34" s="120">
        <f t="shared" si="8"/>
        <v>5</v>
      </c>
      <c r="AK34" s="331">
        <f t="shared" si="4"/>
        <v>40</v>
      </c>
    </row>
    <row r="35" spans="1:38" ht="13.8" hidden="1" x14ac:dyDescent="0.25">
      <c r="A35" s="361" t="s">
        <v>109</v>
      </c>
      <c r="B35" s="71">
        <v>7</v>
      </c>
      <c r="C35" s="71">
        <v>4</v>
      </c>
      <c r="D35" s="71"/>
      <c r="E35" s="71"/>
      <c r="F35" s="71"/>
      <c r="G35" s="71"/>
      <c r="H35" s="5"/>
      <c r="I35" s="5"/>
      <c r="J35" s="71"/>
      <c r="K35" s="71"/>
      <c r="L35" s="71"/>
      <c r="M35" s="71"/>
      <c r="N35" s="5"/>
      <c r="O35" s="239"/>
      <c r="P35" s="239"/>
      <c r="Q35" s="280"/>
      <c r="R35" s="280"/>
      <c r="S35" s="311"/>
      <c r="T35" s="280"/>
      <c r="U35" s="502"/>
      <c r="V35" s="511"/>
      <c r="W35" s="249"/>
      <c r="X35" s="5"/>
      <c r="Y35" s="5"/>
      <c r="Z35" s="73"/>
      <c r="AA35" s="73"/>
      <c r="AB35" s="73"/>
      <c r="AC35" s="73"/>
      <c r="AD35" s="73"/>
      <c r="AE35" s="73"/>
      <c r="AF35" s="73"/>
      <c r="AG35" s="80" t="str">
        <f t="shared" si="5"/>
        <v xml:space="preserve"> </v>
      </c>
      <c r="AH35" s="81" t="str">
        <f t="shared" si="6"/>
        <v xml:space="preserve"> </v>
      </c>
      <c r="AI35" s="83" t="str">
        <f t="shared" si="7"/>
        <v xml:space="preserve"> </v>
      </c>
      <c r="AJ35" s="82" t="str">
        <f t="shared" si="8"/>
        <v xml:space="preserve">  </v>
      </c>
      <c r="AK35" s="331" t="e">
        <f t="shared" si="4"/>
        <v>#N/A</v>
      </c>
    </row>
    <row r="36" spans="1:38" ht="13.2" x14ac:dyDescent="0.25">
      <c r="A36" s="481" t="s">
        <v>2</v>
      </c>
      <c r="B36" s="96">
        <v>78</v>
      </c>
      <c r="C36" s="96">
        <v>82</v>
      </c>
      <c r="D36" s="96">
        <v>104</v>
      </c>
      <c r="E36" s="96">
        <v>132</v>
      </c>
      <c r="F36" s="96">
        <v>106</v>
      </c>
      <c r="G36" s="96">
        <v>92</v>
      </c>
      <c r="H36" s="89">
        <v>92</v>
      </c>
      <c r="I36" s="89">
        <v>90</v>
      </c>
      <c r="J36" s="96">
        <v>104</v>
      </c>
      <c r="K36" s="96">
        <v>71</v>
      </c>
      <c r="L36" s="96">
        <v>82</v>
      </c>
      <c r="M36" s="96">
        <v>82</v>
      </c>
      <c r="N36" s="89">
        <v>91</v>
      </c>
      <c r="O36" s="238">
        <v>91</v>
      </c>
      <c r="P36" s="238">
        <v>85</v>
      </c>
      <c r="Q36" s="286">
        <v>93</v>
      </c>
      <c r="R36" s="286">
        <f>107+2</f>
        <v>109</v>
      </c>
      <c r="S36" s="310">
        <f>90+4</f>
        <v>94</v>
      </c>
      <c r="T36" s="286">
        <v>107</v>
      </c>
      <c r="U36" s="501">
        <v>110</v>
      </c>
      <c r="V36" s="510">
        <v>119</v>
      </c>
      <c r="W36" s="253">
        <v>119</v>
      </c>
      <c r="X36" s="89">
        <v>109</v>
      </c>
      <c r="Y36" s="89">
        <v>107</v>
      </c>
      <c r="Z36" s="88">
        <v>104</v>
      </c>
      <c r="AA36" s="88">
        <v>102</v>
      </c>
      <c r="AB36" s="88">
        <v>91</v>
      </c>
      <c r="AC36" s="88">
        <v>88</v>
      </c>
      <c r="AD36" s="88">
        <v>64</v>
      </c>
      <c r="AE36" s="88">
        <v>82</v>
      </c>
      <c r="AF36" s="97">
        <v>58</v>
      </c>
      <c r="AG36" s="304">
        <f t="shared" ref="AG36:AG48" si="9">IF(AF36=0," ",IF(AJ36&gt;20,(AF36-AE36)/AE36," "))</f>
        <v>-0.29268292682926828</v>
      </c>
      <c r="AH36" s="305">
        <f t="shared" ref="AH36:AH48" si="10">IF(AF36=0," ",IF(AJ36&gt;20,(AF36-AA36)/AA36," "))</f>
        <v>-0.43137254901960786</v>
      </c>
      <c r="AI36" s="306">
        <f t="shared" ref="AI36:AI48" si="11">IF(AF36=0," ",(IF(AJ36&gt;20,(AF36-V36)/V36," ")))</f>
        <v>-0.51260504201680668</v>
      </c>
      <c r="AJ36" s="223">
        <f t="shared" ref="AJ36:AJ48" si="12">IF(AD36&gt;0,AVERAGE(AD36:AF36),"  ")</f>
        <v>68</v>
      </c>
      <c r="AK36" s="331">
        <f t="shared" si="4"/>
        <v>9</v>
      </c>
    </row>
    <row r="37" spans="1:38" ht="13.2" x14ac:dyDescent="0.25">
      <c r="A37" s="364" t="s">
        <v>3</v>
      </c>
      <c r="B37" s="71">
        <v>11</v>
      </c>
      <c r="C37" s="71">
        <v>4</v>
      </c>
      <c r="D37" s="71">
        <v>9</v>
      </c>
      <c r="E37" s="71">
        <v>10</v>
      </c>
      <c r="F37" s="71">
        <v>11</v>
      </c>
      <c r="G37" s="71">
        <v>6</v>
      </c>
      <c r="H37" s="5">
        <v>13</v>
      </c>
      <c r="I37" s="5">
        <v>12</v>
      </c>
      <c r="J37" s="71">
        <v>10</v>
      </c>
      <c r="K37" s="71">
        <v>7</v>
      </c>
      <c r="L37" s="71">
        <v>12</v>
      </c>
      <c r="M37" s="71">
        <v>8</v>
      </c>
      <c r="N37" s="5">
        <v>9</v>
      </c>
      <c r="O37" s="239">
        <v>12</v>
      </c>
      <c r="P37" s="239">
        <v>10</v>
      </c>
      <c r="Q37" s="280">
        <v>11</v>
      </c>
      <c r="R37" s="280">
        <v>7</v>
      </c>
      <c r="S37" s="311">
        <v>13</v>
      </c>
      <c r="T37" s="280">
        <v>10</v>
      </c>
      <c r="U37" s="502">
        <v>14</v>
      </c>
      <c r="V37" s="511">
        <v>15</v>
      </c>
      <c r="W37" s="249">
        <v>20</v>
      </c>
      <c r="X37" s="5">
        <v>14</v>
      </c>
      <c r="Y37" s="5">
        <v>15</v>
      </c>
      <c r="Z37" s="72">
        <v>20</v>
      </c>
      <c r="AA37" s="72">
        <v>24</v>
      </c>
      <c r="AB37" s="72">
        <v>14</v>
      </c>
      <c r="AC37" s="72">
        <v>17</v>
      </c>
      <c r="AD37" s="72">
        <v>13</v>
      </c>
      <c r="AE37" s="72">
        <v>9</v>
      </c>
      <c r="AF37" s="73">
        <v>10</v>
      </c>
      <c r="AG37" s="205" t="str">
        <f t="shared" si="9"/>
        <v xml:space="preserve"> </v>
      </c>
      <c r="AH37" s="206" t="str">
        <f t="shared" si="10"/>
        <v xml:space="preserve"> </v>
      </c>
      <c r="AI37" s="207" t="str">
        <f t="shared" si="11"/>
        <v xml:space="preserve"> </v>
      </c>
      <c r="AJ37" s="120">
        <f t="shared" si="12"/>
        <v>10.666666666666666</v>
      </c>
      <c r="AK37" s="331">
        <f t="shared" si="4"/>
        <v>32</v>
      </c>
    </row>
    <row r="38" spans="1:38" ht="13.2" x14ac:dyDescent="0.25">
      <c r="A38" s="364" t="s">
        <v>4</v>
      </c>
      <c r="B38" s="71">
        <v>0</v>
      </c>
      <c r="C38" s="71">
        <v>0</v>
      </c>
      <c r="D38" s="71">
        <v>0</v>
      </c>
      <c r="E38" s="71">
        <v>0</v>
      </c>
      <c r="F38" s="71">
        <v>0</v>
      </c>
      <c r="G38" s="71">
        <v>0</v>
      </c>
      <c r="H38" s="5">
        <v>1</v>
      </c>
      <c r="I38" s="5">
        <v>11</v>
      </c>
      <c r="J38" s="71">
        <v>6</v>
      </c>
      <c r="K38" s="71">
        <v>15</v>
      </c>
      <c r="L38" s="71">
        <v>15</v>
      </c>
      <c r="M38" s="71">
        <v>18</v>
      </c>
      <c r="N38" s="5">
        <v>10</v>
      </c>
      <c r="O38" s="239">
        <v>6</v>
      </c>
      <c r="P38" s="239">
        <v>16</v>
      </c>
      <c r="Q38" s="280">
        <v>9</v>
      </c>
      <c r="R38" s="280">
        <f>17+1</f>
        <v>18</v>
      </c>
      <c r="S38" s="311">
        <v>17</v>
      </c>
      <c r="T38" s="280">
        <v>11</v>
      </c>
      <c r="U38" s="502">
        <v>15</v>
      </c>
      <c r="V38" s="511">
        <v>26</v>
      </c>
      <c r="W38" s="249">
        <v>25</v>
      </c>
      <c r="X38" s="5">
        <v>31</v>
      </c>
      <c r="Y38" s="5">
        <v>36</v>
      </c>
      <c r="Z38" s="72">
        <v>36</v>
      </c>
      <c r="AA38" s="72">
        <v>39</v>
      </c>
      <c r="AB38" s="72">
        <v>26</v>
      </c>
      <c r="AC38" s="72">
        <v>29</v>
      </c>
      <c r="AD38" s="72">
        <v>31</v>
      </c>
      <c r="AE38" s="72">
        <v>27</v>
      </c>
      <c r="AF38" s="73">
        <v>32</v>
      </c>
      <c r="AG38" s="205">
        <f t="shared" si="9"/>
        <v>0.18518518518518517</v>
      </c>
      <c r="AH38" s="206">
        <f t="shared" si="10"/>
        <v>-0.17948717948717949</v>
      </c>
      <c r="AI38" s="207">
        <f t="shared" si="11"/>
        <v>0.23076923076923078</v>
      </c>
      <c r="AJ38" s="120">
        <f t="shared" si="12"/>
        <v>30</v>
      </c>
      <c r="AK38" s="331">
        <f t="shared" si="4"/>
        <v>16</v>
      </c>
    </row>
    <row r="39" spans="1:38" ht="13.2" x14ac:dyDescent="0.25">
      <c r="A39" s="364" t="s">
        <v>125</v>
      </c>
      <c r="B39" s="71"/>
      <c r="C39" s="71"/>
      <c r="D39" s="71"/>
      <c r="E39" s="71"/>
      <c r="F39" s="71"/>
      <c r="G39" s="71"/>
      <c r="H39" s="5"/>
      <c r="I39" s="5"/>
      <c r="J39" s="71"/>
      <c r="K39" s="71"/>
      <c r="L39" s="71"/>
      <c r="M39" s="71"/>
      <c r="N39" s="5"/>
      <c r="O39" s="239"/>
      <c r="P39" s="239"/>
      <c r="Q39" s="280"/>
      <c r="R39" s="280"/>
      <c r="S39" s="311"/>
      <c r="T39" s="280">
        <v>0</v>
      </c>
      <c r="U39" s="484"/>
      <c r="V39" s="550"/>
      <c r="W39" s="551">
        <v>0</v>
      </c>
      <c r="X39" s="552">
        <v>0</v>
      </c>
      <c r="Y39" s="552">
        <v>0</v>
      </c>
      <c r="Z39" s="553"/>
      <c r="AA39" s="559"/>
      <c r="AB39" s="560"/>
      <c r="AC39" s="551"/>
      <c r="AD39" s="72">
        <v>4</v>
      </c>
      <c r="AE39" s="72">
        <v>9</v>
      </c>
      <c r="AF39" s="73">
        <f>4+1</f>
        <v>5</v>
      </c>
      <c r="AG39" s="205" t="str">
        <f t="shared" si="9"/>
        <v xml:space="preserve"> </v>
      </c>
      <c r="AH39" s="206" t="str">
        <f t="shared" si="10"/>
        <v xml:space="preserve"> </v>
      </c>
      <c r="AI39" s="207" t="str">
        <f t="shared" si="11"/>
        <v xml:space="preserve"> </v>
      </c>
      <c r="AJ39" s="120">
        <f t="shared" si="12"/>
        <v>6</v>
      </c>
      <c r="AK39" s="331">
        <f t="shared" si="4"/>
        <v>42</v>
      </c>
    </row>
    <row r="40" spans="1:38" ht="13.2" x14ac:dyDescent="0.25">
      <c r="A40" s="365" t="s">
        <v>52</v>
      </c>
      <c r="B40" s="74"/>
      <c r="C40" s="74"/>
      <c r="D40" s="74"/>
      <c r="E40" s="74"/>
      <c r="F40" s="74"/>
      <c r="G40" s="74">
        <v>0</v>
      </c>
      <c r="H40" s="7"/>
      <c r="I40" s="7"/>
      <c r="J40" s="74"/>
      <c r="K40" s="74"/>
      <c r="L40" s="74"/>
      <c r="M40" s="74">
        <v>0</v>
      </c>
      <c r="N40" s="7">
        <v>0</v>
      </c>
      <c r="O40" s="240">
        <v>0</v>
      </c>
      <c r="P40" s="240">
        <v>0</v>
      </c>
      <c r="Q40" s="281">
        <v>1</v>
      </c>
      <c r="R40" s="281">
        <v>1</v>
      </c>
      <c r="S40" s="312">
        <v>2</v>
      </c>
      <c r="T40" s="281">
        <v>10</v>
      </c>
      <c r="U40" s="503">
        <f>4+2</f>
        <v>6</v>
      </c>
      <c r="V40" s="512">
        <v>19</v>
      </c>
      <c r="W40" s="250">
        <f>4+2</f>
        <v>6</v>
      </c>
      <c r="X40" s="7">
        <v>7</v>
      </c>
      <c r="Y40" s="7">
        <v>11</v>
      </c>
      <c r="Z40" s="75">
        <v>9</v>
      </c>
      <c r="AA40" s="75">
        <v>17</v>
      </c>
      <c r="AB40" s="75">
        <v>10</v>
      </c>
      <c r="AC40" s="75">
        <v>16</v>
      </c>
      <c r="AD40" s="75">
        <v>6</v>
      </c>
      <c r="AE40" s="75">
        <v>14</v>
      </c>
      <c r="AF40" s="76">
        <v>15</v>
      </c>
      <c r="AG40" s="208" t="str">
        <f t="shared" si="9"/>
        <v xml:space="preserve"> </v>
      </c>
      <c r="AH40" s="209" t="str">
        <f t="shared" si="10"/>
        <v xml:space="preserve"> </v>
      </c>
      <c r="AI40" s="210" t="str">
        <f t="shared" si="11"/>
        <v xml:space="preserve"> </v>
      </c>
      <c r="AJ40" s="222">
        <f t="shared" si="12"/>
        <v>11.666666666666666</v>
      </c>
      <c r="AK40" s="331">
        <f t="shared" si="4"/>
        <v>26</v>
      </c>
    </row>
    <row r="41" spans="1:38" ht="14.4" x14ac:dyDescent="0.3">
      <c r="A41" s="563" t="s">
        <v>149</v>
      </c>
      <c r="B41" s="71"/>
      <c r="C41" s="71"/>
      <c r="D41" s="71"/>
      <c r="E41" s="71"/>
      <c r="F41" s="71"/>
      <c r="G41" s="71"/>
      <c r="H41" s="5"/>
      <c r="I41" s="5"/>
      <c r="J41" s="71"/>
      <c r="K41" s="71"/>
      <c r="L41" s="71"/>
      <c r="M41" s="71"/>
      <c r="N41" s="5"/>
      <c r="O41" s="239"/>
      <c r="P41" s="239"/>
      <c r="Q41" s="280"/>
      <c r="R41" s="280"/>
      <c r="S41" s="311"/>
      <c r="T41" s="280"/>
      <c r="U41" s="502"/>
      <c r="V41" s="554"/>
      <c r="W41" s="555"/>
      <c r="X41" s="552"/>
      <c r="Y41" s="552"/>
      <c r="Z41" s="556"/>
      <c r="AA41" s="557"/>
      <c r="AB41" s="558"/>
      <c r="AC41" s="558"/>
      <c r="AD41" s="558"/>
      <c r="AE41" s="555"/>
      <c r="AF41" s="73">
        <v>2</v>
      </c>
      <c r="AG41" s="205"/>
      <c r="AH41" s="206"/>
      <c r="AI41" s="207"/>
      <c r="AJ41" s="120" t="str">
        <f t="shared" si="12"/>
        <v xml:space="preserve">  </v>
      </c>
      <c r="AK41" s="327">
        <f t="shared" si="4"/>
        <v>48</v>
      </c>
      <c r="AL41" s="319" t="s">
        <v>153</v>
      </c>
    </row>
    <row r="42" spans="1:38" ht="13.2" hidden="1" x14ac:dyDescent="0.25">
      <c r="A42" s="364" t="s">
        <v>128</v>
      </c>
      <c r="B42" s="71">
        <v>6</v>
      </c>
      <c r="C42" s="71">
        <v>8</v>
      </c>
      <c r="D42" s="71">
        <v>12</v>
      </c>
      <c r="E42" s="71">
        <v>21</v>
      </c>
      <c r="F42" s="71">
        <v>15</v>
      </c>
      <c r="G42" s="71">
        <v>6</v>
      </c>
      <c r="H42" s="5">
        <v>13</v>
      </c>
      <c r="I42" s="5">
        <v>12</v>
      </c>
      <c r="J42" s="71">
        <v>10</v>
      </c>
      <c r="K42" s="71">
        <v>8</v>
      </c>
      <c r="L42" s="71">
        <v>10</v>
      </c>
      <c r="M42" s="71">
        <v>7</v>
      </c>
      <c r="N42" s="5">
        <v>4</v>
      </c>
      <c r="O42" s="239">
        <v>8</v>
      </c>
      <c r="P42" s="239">
        <v>5</v>
      </c>
      <c r="Q42" s="280">
        <v>2</v>
      </c>
      <c r="R42" s="280">
        <v>2</v>
      </c>
      <c r="S42" s="311">
        <v>0</v>
      </c>
      <c r="T42" s="280">
        <v>1</v>
      </c>
      <c r="U42" s="502">
        <v>0</v>
      </c>
      <c r="V42" s="511">
        <v>0</v>
      </c>
      <c r="W42" s="249">
        <v>1</v>
      </c>
      <c r="X42" s="5">
        <v>0</v>
      </c>
      <c r="Y42" s="5">
        <v>0</v>
      </c>
      <c r="Z42" s="72">
        <v>0</v>
      </c>
      <c r="AA42" s="72">
        <v>0</v>
      </c>
      <c r="AB42" s="72">
        <v>0</v>
      </c>
      <c r="AC42" s="72">
        <v>0</v>
      </c>
      <c r="AD42" s="72">
        <v>0</v>
      </c>
      <c r="AE42" s="72">
        <v>0</v>
      </c>
      <c r="AF42" s="73"/>
      <c r="AG42" s="205" t="str">
        <f t="shared" si="9"/>
        <v xml:space="preserve"> </v>
      </c>
      <c r="AH42" s="206" t="str">
        <f t="shared" si="10"/>
        <v xml:space="preserve"> </v>
      </c>
      <c r="AI42" s="207" t="str">
        <f t="shared" si="11"/>
        <v xml:space="preserve"> </v>
      </c>
      <c r="AJ42" s="120" t="str">
        <f t="shared" si="12"/>
        <v xml:space="preserve">  </v>
      </c>
      <c r="AK42" s="331" t="e">
        <f t="shared" si="4"/>
        <v>#N/A</v>
      </c>
    </row>
    <row r="43" spans="1:38" ht="13.2" x14ac:dyDescent="0.25">
      <c r="A43" s="364" t="s">
        <v>13</v>
      </c>
      <c r="B43" s="71">
        <v>14</v>
      </c>
      <c r="C43" s="71">
        <v>31</v>
      </c>
      <c r="D43" s="71">
        <v>26</v>
      </c>
      <c r="E43" s="71">
        <v>22</v>
      </c>
      <c r="F43" s="71">
        <v>22</v>
      </c>
      <c r="G43" s="71">
        <v>22</v>
      </c>
      <c r="H43" s="5">
        <v>17</v>
      </c>
      <c r="I43" s="5">
        <v>22</v>
      </c>
      <c r="J43" s="71">
        <v>28</v>
      </c>
      <c r="K43" s="71">
        <v>13</v>
      </c>
      <c r="L43" s="71">
        <v>32</v>
      </c>
      <c r="M43" s="71">
        <v>20</v>
      </c>
      <c r="N43" s="5">
        <v>20</v>
      </c>
      <c r="O43" s="239">
        <v>34</v>
      </c>
      <c r="P43" s="239">
        <v>35</v>
      </c>
      <c r="Q43" s="280">
        <v>37</v>
      </c>
      <c r="R43" s="280">
        <f>28+1</f>
        <v>29</v>
      </c>
      <c r="S43" s="311">
        <f>31+1</f>
        <v>32</v>
      </c>
      <c r="T43" s="280">
        <v>30</v>
      </c>
      <c r="U43" s="502">
        <v>28</v>
      </c>
      <c r="V43" s="511">
        <v>38</v>
      </c>
      <c r="W43" s="249">
        <v>23</v>
      </c>
      <c r="X43" s="5">
        <v>35</v>
      </c>
      <c r="Y43" s="5">
        <v>31</v>
      </c>
      <c r="Z43" s="72">
        <v>30</v>
      </c>
      <c r="AA43" s="72">
        <v>25</v>
      </c>
      <c r="AB43" s="72">
        <v>23</v>
      </c>
      <c r="AC43" s="72">
        <v>15</v>
      </c>
      <c r="AD43" s="72">
        <v>15</v>
      </c>
      <c r="AE43" s="72">
        <v>15</v>
      </c>
      <c r="AF43" s="73">
        <f>10+1</f>
        <v>11</v>
      </c>
      <c r="AG43" s="205" t="str">
        <f t="shared" si="9"/>
        <v xml:space="preserve"> </v>
      </c>
      <c r="AH43" s="206" t="str">
        <f t="shared" si="10"/>
        <v xml:space="preserve"> </v>
      </c>
      <c r="AI43" s="207" t="str">
        <f t="shared" si="11"/>
        <v xml:space="preserve"> </v>
      </c>
      <c r="AJ43" s="120">
        <f t="shared" si="12"/>
        <v>13.666666666666666</v>
      </c>
      <c r="AK43" s="331">
        <f t="shared" si="4"/>
        <v>28</v>
      </c>
    </row>
    <row r="44" spans="1:38" ht="14.4" x14ac:dyDescent="0.3">
      <c r="A44" s="364" t="s">
        <v>126</v>
      </c>
      <c r="B44" s="71"/>
      <c r="C44" s="71"/>
      <c r="D44" s="71"/>
      <c r="E44" s="71"/>
      <c r="F44" s="71"/>
      <c r="G44" s="71"/>
      <c r="H44" s="5"/>
      <c r="I44" s="5"/>
      <c r="J44" s="71"/>
      <c r="K44" s="71"/>
      <c r="L44" s="71"/>
      <c r="M44" s="71"/>
      <c r="N44" s="5"/>
      <c r="O44" s="239"/>
      <c r="P44" s="239"/>
      <c r="Q44" s="280"/>
      <c r="R44" s="280">
        <v>0</v>
      </c>
      <c r="S44" s="311"/>
      <c r="T44" s="280">
        <v>0</v>
      </c>
      <c r="U44" s="484"/>
      <c r="V44" s="550"/>
      <c r="W44" s="551">
        <v>0</v>
      </c>
      <c r="X44" s="552">
        <v>0</v>
      </c>
      <c r="Y44" s="552">
        <v>0</v>
      </c>
      <c r="Z44" s="553"/>
      <c r="AA44" s="552"/>
      <c r="AB44" s="72">
        <v>1</v>
      </c>
      <c r="AC44" s="72">
        <v>1</v>
      </c>
      <c r="AD44" s="72">
        <v>8</v>
      </c>
      <c r="AE44" s="72">
        <v>6</v>
      </c>
      <c r="AF44" s="73">
        <v>4</v>
      </c>
      <c r="AG44" s="205" t="str">
        <f t="shared" si="9"/>
        <v xml:space="preserve"> </v>
      </c>
      <c r="AH44" s="206" t="str">
        <f t="shared" si="10"/>
        <v xml:space="preserve"> </v>
      </c>
      <c r="AI44" s="207" t="str">
        <f t="shared" si="11"/>
        <v xml:space="preserve"> </v>
      </c>
      <c r="AJ44" s="120">
        <f t="shared" si="12"/>
        <v>6</v>
      </c>
      <c r="AK44" s="327">
        <f t="shared" si="4"/>
        <v>43</v>
      </c>
      <c r="AL44" s="319" t="s">
        <v>153</v>
      </c>
    </row>
    <row r="45" spans="1:38" ht="13.2" x14ac:dyDescent="0.25">
      <c r="A45" s="366" t="s">
        <v>18</v>
      </c>
      <c r="B45" s="71">
        <v>21</v>
      </c>
      <c r="C45" s="71">
        <v>21</v>
      </c>
      <c r="D45" s="71">
        <v>24</v>
      </c>
      <c r="E45" s="71">
        <v>22</v>
      </c>
      <c r="F45" s="71">
        <v>21</v>
      </c>
      <c r="G45" s="71">
        <v>16</v>
      </c>
      <c r="H45" s="5">
        <v>27</v>
      </c>
      <c r="I45" s="5">
        <v>12</v>
      </c>
      <c r="J45" s="71">
        <v>22</v>
      </c>
      <c r="K45" s="71">
        <v>24</v>
      </c>
      <c r="L45" s="71">
        <v>22</v>
      </c>
      <c r="M45" s="71">
        <v>22</v>
      </c>
      <c r="N45" s="5">
        <v>24</v>
      </c>
      <c r="O45" s="239">
        <v>28</v>
      </c>
      <c r="P45" s="239">
        <v>14</v>
      </c>
      <c r="Q45" s="280">
        <v>19</v>
      </c>
      <c r="R45" s="280">
        <f>23+4</f>
        <v>27</v>
      </c>
      <c r="S45" s="311">
        <f>24+2</f>
        <v>26</v>
      </c>
      <c r="T45" s="280">
        <v>26</v>
      </c>
      <c r="U45" s="502">
        <f>30+1</f>
        <v>31</v>
      </c>
      <c r="V45" s="511">
        <v>33</v>
      </c>
      <c r="W45" s="249">
        <f>32+1</f>
        <v>33</v>
      </c>
      <c r="X45" s="5">
        <v>31</v>
      </c>
      <c r="Y45" s="5">
        <v>26</v>
      </c>
      <c r="Z45" s="72">
        <v>27</v>
      </c>
      <c r="AA45" s="72">
        <v>21</v>
      </c>
      <c r="AB45" s="72">
        <v>36</v>
      </c>
      <c r="AC45" s="72">
        <v>21</v>
      </c>
      <c r="AD45" s="72">
        <v>21</v>
      </c>
      <c r="AE45" s="72">
        <v>14</v>
      </c>
      <c r="AF45" s="73">
        <v>21</v>
      </c>
      <c r="AG45" s="205" t="str">
        <f t="shared" si="9"/>
        <v xml:space="preserve"> </v>
      </c>
      <c r="AH45" s="206" t="str">
        <f t="shared" si="10"/>
        <v xml:space="preserve"> </v>
      </c>
      <c r="AI45" s="207" t="str">
        <f t="shared" si="11"/>
        <v xml:space="preserve"> </v>
      </c>
      <c r="AJ45" s="120">
        <f t="shared" si="12"/>
        <v>18.666666666666668</v>
      </c>
      <c r="AK45" s="331">
        <f t="shared" si="4"/>
        <v>21</v>
      </c>
    </row>
    <row r="46" spans="1:38" ht="13.2" x14ac:dyDescent="0.25">
      <c r="A46" s="366" t="s">
        <v>22</v>
      </c>
      <c r="B46" s="71">
        <v>1</v>
      </c>
      <c r="C46" s="71">
        <v>5</v>
      </c>
      <c r="D46" s="71">
        <v>8</v>
      </c>
      <c r="E46" s="71">
        <v>5</v>
      </c>
      <c r="F46" s="71">
        <v>4</v>
      </c>
      <c r="G46" s="71">
        <v>9</v>
      </c>
      <c r="H46" s="5">
        <v>5</v>
      </c>
      <c r="I46" s="5">
        <v>8</v>
      </c>
      <c r="J46" s="71">
        <v>13</v>
      </c>
      <c r="K46" s="71">
        <v>8</v>
      </c>
      <c r="L46" s="71">
        <v>4</v>
      </c>
      <c r="M46" s="71">
        <v>12</v>
      </c>
      <c r="N46" s="5">
        <v>8</v>
      </c>
      <c r="O46" s="239">
        <v>13</v>
      </c>
      <c r="P46" s="239">
        <v>6</v>
      </c>
      <c r="Q46" s="280">
        <v>8</v>
      </c>
      <c r="R46" s="280">
        <v>7</v>
      </c>
      <c r="S46" s="311">
        <v>5</v>
      </c>
      <c r="T46" s="280">
        <v>11</v>
      </c>
      <c r="U46" s="502">
        <v>9</v>
      </c>
      <c r="V46" s="511">
        <v>12</v>
      </c>
      <c r="W46" s="249">
        <v>21</v>
      </c>
      <c r="X46" s="5">
        <v>18</v>
      </c>
      <c r="Y46" s="5">
        <v>30</v>
      </c>
      <c r="Z46" s="72">
        <v>12</v>
      </c>
      <c r="AA46" s="72">
        <v>20</v>
      </c>
      <c r="AB46" s="72">
        <v>14</v>
      </c>
      <c r="AC46" s="72">
        <v>9</v>
      </c>
      <c r="AD46" s="72">
        <v>8</v>
      </c>
      <c r="AE46" s="72">
        <v>5</v>
      </c>
      <c r="AF46" s="73">
        <v>7</v>
      </c>
      <c r="AG46" s="205" t="str">
        <f t="shared" si="9"/>
        <v xml:space="preserve"> </v>
      </c>
      <c r="AH46" s="206" t="str">
        <f t="shared" si="10"/>
        <v xml:space="preserve"> </v>
      </c>
      <c r="AI46" s="207" t="str">
        <f t="shared" si="11"/>
        <v xml:space="preserve"> </v>
      </c>
      <c r="AJ46" s="120">
        <f t="shared" si="12"/>
        <v>6.666666666666667</v>
      </c>
      <c r="AK46" s="331">
        <f t="shared" si="4"/>
        <v>35</v>
      </c>
    </row>
    <row r="47" spans="1:38" ht="13.8" hidden="1" x14ac:dyDescent="0.25">
      <c r="A47" s="366" t="s">
        <v>110</v>
      </c>
      <c r="B47" s="71">
        <v>8</v>
      </c>
      <c r="C47" s="71">
        <v>2</v>
      </c>
      <c r="D47" s="71"/>
      <c r="E47" s="71">
        <v>2</v>
      </c>
      <c r="F47" s="71">
        <v>0</v>
      </c>
      <c r="G47" s="71">
        <v>0</v>
      </c>
      <c r="H47" s="5">
        <v>0</v>
      </c>
      <c r="I47" s="5">
        <v>0</v>
      </c>
      <c r="J47" s="71">
        <v>0</v>
      </c>
      <c r="K47" s="71">
        <v>0</v>
      </c>
      <c r="L47" s="71">
        <v>0</v>
      </c>
      <c r="M47" s="71">
        <v>0</v>
      </c>
      <c r="N47" s="5">
        <v>0</v>
      </c>
      <c r="O47" s="239"/>
      <c r="P47" s="239"/>
      <c r="Q47" s="280"/>
      <c r="R47" s="280"/>
      <c r="S47" s="311"/>
      <c r="T47" s="280"/>
      <c r="U47" s="502"/>
      <c r="V47" s="511"/>
      <c r="W47" s="249"/>
      <c r="X47" s="5"/>
      <c r="Y47" s="5"/>
      <c r="Z47" s="72"/>
      <c r="AA47" s="72"/>
      <c r="AB47" s="72"/>
      <c r="AC47" s="72"/>
      <c r="AD47" s="72"/>
      <c r="AE47" s="72"/>
      <c r="AF47" s="73"/>
      <c r="AG47" s="205" t="str">
        <f t="shared" si="9"/>
        <v xml:space="preserve"> </v>
      </c>
      <c r="AH47" s="206" t="str">
        <f t="shared" si="10"/>
        <v xml:space="preserve"> </v>
      </c>
      <c r="AI47" s="207" t="str">
        <f t="shared" si="11"/>
        <v xml:space="preserve"> </v>
      </c>
      <c r="AJ47" s="120" t="str">
        <f t="shared" si="12"/>
        <v xml:space="preserve">  </v>
      </c>
      <c r="AK47" s="331" t="e">
        <f t="shared" si="4"/>
        <v>#N/A</v>
      </c>
    </row>
    <row r="48" spans="1:38" ht="14.4" x14ac:dyDescent="0.3">
      <c r="A48" s="367" t="s">
        <v>127</v>
      </c>
      <c r="B48" s="105"/>
      <c r="C48" s="105"/>
      <c r="D48" s="105"/>
      <c r="E48" s="105"/>
      <c r="F48" s="105"/>
      <c r="G48" s="105"/>
      <c r="H48" s="90"/>
      <c r="I48" s="90"/>
      <c r="J48" s="105"/>
      <c r="K48" s="105"/>
      <c r="L48" s="105"/>
      <c r="M48" s="105"/>
      <c r="N48" s="90"/>
      <c r="O48" s="247"/>
      <c r="P48" s="247">
        <v>0</v>
      </c>
      <c r="Q48" s="289"/>
      <c r="R48" s="289">
        <v>0</v>
      </c>
      <c r="S48" s="316"/>
      <c r="T48" s="289">
        <v>0</v>
      </c>
      <c r="U48" s="484"/>
      <c r="V48" s="519">
        <v>0</v>
      </c>
      <c r="W48" s="255">
        <v>0</v>
      </c>
      <c r="X48" s="90">
        <v>0</v>
      </c>
      <c r="Y48" s="90">
        <v>0</v>
      </c>
      <c r="Z48" s="79">
        <v>1</v>
      </c>
      <c r="AA48" s="79">
        <v>6</v>
      </c>
      <c r="AB48" s="79">
        <v>1</v>
      </c>
      <c r="AC48" s="79">
        <v>6</v>
      </c>
      <c r="AD48" s="79">
        <v>5</v>
      </c>
      <c r="AE48" s="79">
        <v>2</v>
      </c>
      <c r="AF48" s="78">
        <v>1</v>
      </c>
      <c r="AG48" s="473" t="str">
        <f t="shared" si="9"/>
        <v xml:space="preserve"> </v>
      </c>
      <c r="AH48" s="474" t="str">
        <f t="shared" si="10"/>
        <v xml:space="preserve"> </v>
      </c>
      <c r="AI48" s="475" t="str">
        <f t="shared" si="11"/>
        <v xml:space="preserve"> </v>
      </c>
      <c r="AJ48" s="469">
        <f t="shared" si="12"/>
        <v>2.6666666666666665</v>
      </c>
      <c r="AK48" s="320">
        <f t="shared" si="4"/>
        <v>49</v>
      </c>
    </row>
    <row r="49" spans="1:37" ht="13.2" x14ac:dyDescent="0.25">
      <c r="A49" s="471" t="s">
        <v>0</v>
      </c>
      <c r="B49" s="96">
        <v>62</v>
      </c>
      <c r="C49" s="96">
        <v>49</v>
      </c>
      <c r="D49" s="96">
        <v>55</v>
      </c>
      <c r="E49" s="96">
        <v>60</v>
      </c>
      <c r="F49" s="96">
        <v>42</v>
      </c>
      <c r="G49" s="96">
        <v>26</v>
      </c>
      <c r="H49" s="89">
        <v>46</v>
      </c>
      <c r="I49" s="89">
        <v>30</v>
      </c>
      <c r="J49" s="96">
        <v>25</v>
      </c>
      <c r="K49" s="96">
        <v>32</v>
      </c>
      <c r="L49" s="96">
        <v>34</v>
      </c>
      <c r="M49" s="96">
        <v>40</v>
      </c>
      <c r="N49" s="89">
        <v>38</v>
      </c>
      <c r="O49" s="238">
        <v>30</v>
      </c>
      <c r="P49" s="238">
        <v>61</v>
      </c>
      <c r="Q49" s="286">
        <v>60</v>
      </c>
      <c r="R49" s="286">
        <v>53</v>
      </c>
      <c r="S49" s="310">
        <f>46+1</f>
        <v>47</v>
      </c>
      <c r="T49" s="286">
        <v>44</v>
      </c>
      <c r="U49" s="501">
        <f>56+1</f>
        <v>57</v>
      </c>
      <c r="V49" s="510">
        <v>53</v>
      </c>
      <c r="W49" s="253">
        <f>66+3</f>
        <v>69</v>
      </c>
      <c r="X49" s="89">
        <v>81</v>
      </c>
      <c r="Y49" s="89">
        <v>60</v>
      </c>
      <c r="Z49" s="88">
        <v>40</v>
      </c>
      <c r="AA49" s="88">
        <v>63</v>
      </c>
      <c r="AB49" s="88">
        <v>46</v>
      </c>
      <c r="AC49" s="88">
        <v>37</v>
      </c>
      <c r="AD49" s="88">
        <v>41</v>
      </c>
      <c r="AE49" s="88">
        <v>35</v>
      </c>
      <c r="AF49" s="97">
        <f>35+3</f>
        <v>38</v>
      </c>
      <c r="AG49" s="304">
        <f t="shared" ref="AG49:AG56" si="13">IF(AF49=0," ",IF(AJ49&gt;20,(AF49-AE49)/AE49," "))</f>
        <v>8.5714285714285715E-2</v>
      </c>
      <c r="AH49" s="305">
        <f t="shared" ref="AH49:AH56" si="14">IF(AF49=0," ",IF(AJ49&gt;20,(AF49-AA49)/AA49," "))</f>
        <v>-0.3968253968253968</v>
      </c>
      <c r="AI49" s="306">
        <f t="shared" ref="AI49:AI56" si="15">IF(AF49=0," ",(IF(AJ49&gt;20,(AF49-V49)/V49," ")))</f>
        <v>-0.28301886792452829</v>
      </c>
      <c r="AJ49" s="223">
        <f t="shared" ref="AJ49:AJ56" si="16">IF(AD49&gt;0,AVERAGE(AD49:AF49),"  ")</f>
        <v>38</v>
      </c>
      <c r="AK49" s="331">
        <f t="shared" si="4"/>
        <v>13</v>
      </c>
    </row>
    <row r="50" spans="1:37" ht="13.2" x14ac:dyDescent="0.25">
      <c r="A50" s="370" t="s">
        <v>148</v>
      </c>
      <c r="B50" s="71"/>
      <c r="C50" s="71"/>
      <c r="D50" s="71"/>
      <c r="E50" s="71"/>
      <c r="F50" s="71"/>
      <c r="G50" s="71"/>
      <c r="H50" s="5"/>
      <c r="I50" s="5"/>
      <c r="J50" s="71"/>
      <c r="K50" s="71"/>
      <c r="L50" s="71"/>
      <c r="M50" s="71"/>
      <c r="N50" s="5"/>
      <c r="O50" s="239"/>
      <c r="P50" s="239"/>
      <c r="Q50" s="280"/>
      <c r="R50" s="280">
        <v>0</v>
      </c>
      <c r="S50" s="311"/>
      <c r="T50" s="280">
        <v>0</v>
      </c>
      <c r="U50" s="484"/>
      <c r="V50" s="511">
        <v>2</v>
      </c>
      <c r="W50" s="249">
        <v>3</v>
      </c>
      <c r="X50" s="5">
        <v>8</v>
      </c>
      <c r="Y50" s="5">
        <v>10</v>
      </c>
      <c r="Z50" s="72">
        <v>13</v>
      </c>
      <c r="AA50" s="72">
        <v>8</v>
      </c>
      <c r="AB50" s="72">
        <v>5</v>
      </c>
      <c r="AC50" s="72">
        <v>5</v>
      </c>
      <c r="AD50" s="72">
        <v>4</v>
      </c>
      <c r="AE50" s="72">
        <v>7</v>
      </c>
      <c r="AF50" s="73">
        <v>11</v>
      </c>
      <c r="AG50" s="205" t="str">
        <f t="shared" si="13"/>
        <v xml:space="preserve"> </v>
      </c>
      <c r="AH50" s="206" t="str">
        <f t="shared" si="14"/>
        <v xml:space="preserve"> </v>
      </c>
      <c r="AI50" s="207" t="str">
        <f t="shared" si="15"/>
        <v xml:space="preserve"> </v>
      </c>
      <c r="AJ50" s="120">
        <f t="shared" si="16"/>
        <v>7.333333333333333</v>
      </c>
      <c r="AK50" s="331">
        <f t="shared" si="4"/>
        <v>28</v>
      </c>
    </row>
    <row r="51" spans="1:37" ht="13.2" x14ac:dyDescent="0.25">
      <c r="A51" s="357" t="s">
        <v>6</v>
      </c>
      <c r="B51" s="71">
        <v>8</v>
      </c>
      <c r="C51" s="71">
        <v>14</v>
      </c>
      <c r="D51" s="71">
        <v>6</v>
      </c>
      <c r="E51" s="71">
        <v>14</v>
      </c>
      <c r="F51" s="71">
        <v>1</v>
      </c>
      <c r="G51" s="71">
        <v>6</v>
      </c>
      <c r="H51" s="5">
        <v>11</v>
      </c>
      <c r="I51" s="5">
        <v>2</v>
      </c>
      <c r="J51" s="71">
        <v>2</v>
      </c>
      <c r="K51" s="71">
        <v>3</v>
      </c>
      <c r="L51" s="71">
        <v>8</v>
      </c>
      <c r="M51" s="71">
        <v>8</v>
      </c>
      <c r="N51" s="5">
        <v>5</v>
      </c>
      <c r="O51" s="239">
        <v>10</v>
      </c>
      <c r="P51" s="239">
        <v>6</v>
      </c>
      <c r="Q51" s="280">
        <v>16</v>
      </c>
      <c r="R51" s="280">
        <f>10+2</f>
        <v>12</v>
      </c>
      <c r="S51" s="311">
        <v>17</v>
      </c>
      <c r="T51" s="280">
        <v>13</v>
      </c>
      <c r="U51" s="502">
        <v>15</v>
      </c>
      <c r="V51" s="511">
        <v>20</v>
      </c>
      <c r="W51" s="249">
        <f>11+3</f>
        <v>14</v>
      </c>
      <c r="X51" s="5">
        <v>18</v>
      </c>
      <c r="Y51" s="5">
        <v>26</v>
      </c>
      <c r="Z51" s="72">
        <v>10</v>
      </c>
      <c r="AA51" s="72">
        <v>22</v>
      </c>
      <c r="AB51" s="72">
        <v>18</v>
      </c>
      <c r="AC51" s="72">
        <v>8</v>
      </c>
      <c r="AD51" s="72">
        <v>14</v>
      </c>
      <c r="AE51" s="72">
        <v>8</v>
      </c>
      <c r="AF51" s="73">
        <v>7</v>
      </c>
      <c r="AG51" s="205" t="str">
        <f t="shared" si="13"/>
        <v xml:space="preserve"> </v>
      </c>
      <c r="AH51" s="206" t="str">
        <f t="shared" si="14"/>
        <v xml:space="preserve"> </v>
      </c>
      <c r="AI51" s="207" t="str">
        <f t="shared" si="15"/>
        <v xml:space="preserve"> </v>
      </c>
      <c r="AJ51" s="120">
        <f t="shared" si="16"/>
        <v>9.6666666666666661</v>
      </c>
      <c r="AK51" s="331">
        <f t="shared" si="4"/>
        <v>35</v>
      </c>
    </row>
    <row r="52" spans="1:37" ht="13.2" x14ac:dyDescent="0.25">
      <c r="A52" s="359" t="s">
        <v>11</v>
      </c>
      <c r="B52" s="74"/>
      <c r="C52" s="74"/>
      <c r="D52" s="74"/>
      <c r="E52" s="74"/>
      <c r="F52" s="74"/>
      <c r="G52" s="74"/>
      <c r="H52" s="7"/>
      <c r="I52" s="7"/>
      <c r="J52" s="74">
        <v>23</v>
      </c>
      <c r="K52" s="74">
        <v>28</v>
      </c>
      <c r="L52" s="74">
        <v>42</v>
      </c>
      <c r="M52" s="74">
        <v>59</v>
      </c>
      <c r="N52" s="7">
        <v>66</v>
      </c>
      <c r="O52" s="240">
        <v>61</v>
      </c>
      <c r="P52" s="240">
        <v>90</v>
      </c>
      <c r="Q52" s="281">
        <v>90</v>
      </c>
      <c r="R52" s="281">
        <f>48+7</f>
        <v>55</v>
      </c>
      <c r="S52" s="312">
        <f>58+5</f>
        <v>63</v>
      </c>
      <c r="T52" s="281">
        <v>43</v>
      </c>
      <c r="U52" s="503">
        <f>48+6</f>
        <v>54</v>
      </c>
      <c r="V52" s="512">
        <v>46</v>
      </c>
      <c r="W52" s="250">
        <f>49+3</f>
        <v>52</v>
      </c>
      <c r="X52" s="7">
        <v>75</v>
      </c>
      <c r="Y52" s="7">
        <v>56</v>
      </c>
      <c r="Z52" s="75">
        <v>66</v>
      </c>
      <c r="AA52" s="75">
        <v>56</v>
      </c>
      <c r="AB52" s="75">
        <v>64</v>
      </c>
      <c r="AC52" s="75">
        <v>55</v>
      </c>
      <c r="AD52" s="75">
        <v>44</v>
      </c>
      <c r="AE52" s="75">
        <v>48</v>
      </c>
      <c r="AF52" s="76">
        <f>42+2</f>
        <v>44</v>
      </c>
      <c r="AG52" s="208">
        <f t="shared" si="13"/>
        <v>-8.3333333333333329E-2</v>
      </c>
      <c r="AH52" s="209">
        <f t="shared" si="14"/>
        <v>-0.21428571428571427</v>
      </c>
      <c r="AI52" s="210">
        <f t="shared" si="15"/>
        <v>-4.3478260869565216E-2</v>
      </c>
      <c r="AJ52" s="222">
        <f t="shared" si="16"/>
        <v>45.333333333333336</v>
      </c>
      <c r="AK52" s="331">
        <f t="shared" si="4"/>
        <v>11</v>
      </c>
    </row>
    <row r="53" spans="1:37" ht="13.2" x14ac:dyDescent="0.25">
      <c r="A53" s="357" t="s">
        <v>61</v>
      </c>
      <c r="B53" s="71">
        <v>22</v>
      </c>
      <c r="C53" s="71">
        <v>16</v>
      </c>
      <c r="D53" s="71">
        <v>22</v>
      </c>
      <c r="E53" s="71">
        <v>38</v>
      </c>
      <c r="F53" s="71">
        <v>36</v>
      </c>
      <c r="G53" s="71">
        <v>33</v>
      </c>
      <c r="H53" s="5">
        <v>56</v>
      </c>
      <c r="I53" s="5">
        <v>69</v>
      </c>
      <c r="J53" s="71">
        <v>65</v>
      </c>
      <c r="K53" s="71">
        <v>36</v>
      </c>
      <c r="L53" s="71">
        <v>38</v>
      </c>
      <c r="M53" s="71">
        <v>25</v>
      </c>
      <c r="N53" s="5">
        <v>25</v>
      </c>
      <c r="O53" s="239">
        <v>29</v>
      </c>
      <c r="P53" s="239">
        <v>21</v>
      </c>
      <c r="Q53" s="280">
        <v>27</v>
      </c>
      <c r="R53" s="280">
        <f>32+3</f>
        <v>35</v>
      </c>
      <c r="S53" s="311">
        <f>49+5</f>
        <v>54</v>
      </c>
      <c r="T53" s="280">
        <v>64</v>
      </c>
      <c r="U53" s="502">
        <f>56+8</f>
        <v>64</v>
      </c>
      <c r="V53" s="511">
        <v>67</v>
      </c>
      <c r="W53" s="249">
        <f>38+16</f>
        <v>54</v>
      </c>
      <c r="X53" s="5">
        <v>59</v>
      </c>
      <c r="Y53" s="5">
        <v>56</v>
      </c>
      <c r="Z53" s="72">
        <v>68</v>
      </c>
      <c r="AA53" s="72">
        <v>51</v>
      </c>
      <c r="AB53" s="72">
        <v>66</v>
      </c>
      <c r="AC53" s="72">
        <v>48</v>
      </c>
      <c r="AD53" s="72">
        <v>55</v>
      </c>
      <c r="AE53" s="72">
        <v>57</v>
      </c>
      <c r="AF53" s="73">
        <f>36+3</f>
        <v>39</v>
      </c>
      <c r="AG53" s="205">
        <f t="shared" si="13"/>
        <v>-0.31578947368421051</v>
      </c>
      <c r="AH53" s="206">
        <f t="shared" si="14"/>
        <v>-0.23529411764705882</v>
      </c>
      <c r="AI53" s="207">
        <f t="shared" si="15"/>
        <v>-0.41791044776119401</v>
      </c>
      <c r="AJ53" s="120">
        <f t="shared" si="16"/>
        <v>50.333333333333336</v>
      </c>
      <c r="AK53" s="331">
        <f t="shared" si="4"/>
        <v>12</v>
      </c>
    </row>
    <row r="54" spans="1:37" ht="13.2" x14ac:dyDescent="0.25">
      <c r="A54" s="361" t="s">
        <v>129</v>
      </c>
      <c r="B54" s="71"/>
      <c r="C54" s="71"/>
      <c r="D54" s="71"/>
      <c r="E54" s="71"/>
      <c r="F54" s="71"/>
      <c r="G54" s="71"/>
      <c r="H54" s="5"/>
      <c r="I54" s="5"/>
      <c r="J54" s="71"/>
      <c r="K54" s="71"/>
      <c r="L54" s="71"/>
      <c r="M54" s="71"/>
      <c r="N54" s="5"/>
      <c r="O54" s="239"/>
      <c r="P54" s="239"/>
      <c r="Q54" s="280"/>
      <c r="R54" s="280">
        <v>0</v>
      </c>
      <c r="S54" s="311"/>
      <c r="T54" s="280">
        <v>0</v>
      </c>
      <c r="U54" s="484"/>
      <c r="V54" s="511"/>
      <c r="W54" s="249">
        <v>2</v>
      </c>
      <c r="X54" s="5">
        <v>5</v>
      </c>
      <c r="Y54" s="5">
        <v>1</v>
      </c>
      <c r="Z54" s="72">
        <v>3</v>
      </c>
      <c r="AA54" s="72">
        <v>3</v>
      </c>
      <c r="AB54" s="72">
        <v>2</v>
      </c>
      <c r="AC54" s="72">
        <v>2</v>
      </c>
      <c r="AD54" s="72">
        <v>9</v>
      </c>
      <c r="AE54" s="72">
        <v>11</v>
      </c>
      <c r="AF54" s="73">
        <v>11</v>
      </c>
      <c r="AG54" s="205" t="str">
        <f t="shared" si="13"/>
        <v xml:space="preserve"> </v>
      </c>
      <c r="AH54" s="206" t="str">
        <f t="shared" si="14"/>
        <v xml:space="preserve"> </v>
      </c>
      <c r="AI54" s="207" t="str">
        <f t="shared" si="15"/>
        <v xml:space="preserve"> </v>
      </c>
      <c r="AJ54" s="120">
        <f t="shared" si="16"/>
        <v>10.333333333333334</v>
      </c>
      <c r="AK54" s="331">
        <f t="shared" si="4"/>
        <v>28</v>
      </c>
    </row>
    <row r="55" spans="1:37" ht="13.2" x14ac:dyDescent="0.25">
      <c r="A55" s="357" t="s">
        <v>16</v>
      </c>
      <c r="B55" s="71"/>
      <c r="C55" s="71"/>
      <c r="D55" s="71"/>
      <c r="E55" s="71"/>
      <c r="F55" s="71"/>
      <c r="G55" s="71"/>
      <c r="H55" s="5"/>
      <c r="I55" s="5"/>
      <c r="J55" s="71">
        <v>1</v>
      </c>
      <c r="K55" s="71">
        <v>20</v>
      </c>
      <c r="L55" s="71">
        <v>54</v>
      </c>
      <c r="M55" s="71">
        <v>91</v>
      </c>
      <c r="N55" s="5">
        <v>95</v>
      </c>
      <c r="O55" s="239">
        <v>91</v>
      </c>
      <c r="P55" s="239">
        <v>102</v>
      </c>
      <c r="Q55" s="280">
        <v>103</v>
      </c>
      <c r="R55" s="280">
        <f>101+4</f>
        <v>105</v>
      </c>
      <c r="S55" s="311">
        <f>95+3</f>
        <v>98</v>
      </c>
      <c r="T55" s="280">
        <v>89</v>
      </c>
      <c r="U55" s="502">
        <f>95+4</f>
        <v>99</v>
      </c>
      <c r="V55" s="511">
        <v>108</v>
      </c>
      <c r="W55" s="249">
        <v>109</v>
      </c>
      <c r="X55" s="5">
        <v>98</v>
      </c>
      <c r="Y55" s="5">
        <v>94</v>
      </c>
      <c r="Z55" s="72">
        <v>101</v>
      </c>
      <c r="AA55" s="72">
        <v>96</v>
      </c>
      <c r="AB55" s="72">
        <v>94</v>
      </c>
      <c r="AC55" s="72">
        <v>74</v>
      </c>
      <c r="AD55" s="72">
        <v>92</v>
      </c>
      <c r="AE55" s="72">
        <v>97</v>
      </c>
      <c r="AF55" s="73">
        <f>72+1</f>
        <v>73</v>
      </c>
      <c r="AG55" s="205">
        <f t="shared" si="13"/>
        <v>-0.24742268041237114</v>
      </c>
      <c r="AH55" s="206">
        <f t="shared" si="14"/>
        <v>-0.23958333333333334</v>
      </c>
      <c r="AI55" s="207">
        <f t="shared" si="15"/>
        <v>-0.32407407407407407</v>
      </c>
      <c r="AJ55" s="120">
        <f t="shared" si="16"/>
        <v>87.333333333333329</v>
      </c>
      <c r="AK55" s="331">
        <f t="shared" si="4"/>
        <v>6</v>
      </c>
    </row>
    <row r="56" spans="1:37" ht="13.2" x14ac:dyDescent="0.25">
      <c r="A56" s="480" t="s">
        <v>17</v>
      </c>
      <c r="B56" s="105"/>
      <c r="C56" s="105"/>
      <c r="D56" s="105"/>
      <c r="E56" s="105"/>
      <c r="F56" s="105"/>
      <c r="G56" s="105"/>
      <c r="H56" s="90"/>
      <c r="I56" s="90"/>
      <c r="J56" s="105">
        <v>11</v>
      </c>
      <c r="K56" s="105">
        <v>37</v>
      </c>
      <c r="L56" s="105">
        <v>61</v>
      </c>
      <c r="M56" s="105">
        <v>54</v>
      </c>
      <c r="N56" s="90">
        <v>68</v>
      </c>
      <c r="O56" s="247">
        <v>100</v>
      </c>
      <c r="P56" s="247">
        <v>93</v>
      </c>
      <c r="Q56" s="289">
        <v>72</v>
      </c>
      <c r="R56" s="289">
        <f>47+3</f>
        <v>50</v>
      </c>
      <c r="S56" s="316">
        <f>51+2</f>
        <v>53</v>
      </c>
      <c r="T56" s="289">
        <v>57</v>
      </c>
      <c r="U56" s="517">
        <f>45+3</f>
        <v>48</v>
      </c>
      <c r="V56" s="519">
        <v>70</v>
      </c>
      <c r="W56" s="255">
        <v>72</v>
      </c>
      <c r="X56" s="90">
        <v>78</v>
      </c>
      <c r="Y56" s="90">
        <v>81</v>
      </c>
      <c r="Z56" s="79">
        <v>79</v>
      </c>
      <c r="AA56" s="79">
        <v>85</v>
      </c>
      <c r="AB56" s="79">
        <v>107</v>
      </c>
      <c r="AC56" s="79">
        <v>67</v>
      </c>
      <c r="AD56" s="79">
        <v>86</v>
      </c>
      <c r="AE56" s="79">
        <v>60</v>
      </c>
      <c r="AF56" s="78">
        <f>63+1</f>
        <v>64</v>
      </c>
      <c r="AG56" s="473">
        <f t="shared" si="13"/>
        <v>6.6666666666666666E-2</v>
      </c>
      <c r="AH56" s="474">
        <f t="shared" si="14"/>
        <v>-0.24705882352941178</v>
      </c>
      <c r="AI56" s="475">
        <f t="shared" si="15"/>
        <v>-8.5714285714285715E-2</v>
      </c>
      <c r="AJ56" s="469">
        <f t="shared" si="16"/>
        <v>70</v>
      </c>
      <c r="AK56" s="331">
        <f t="shared" si="4"/>
        <v>8</v>
      </c>
    </row>
    <row r="57" spans="1:37" ht="13.2" x14ac:dyDescent="0.25">
      <c r="A57" s="471" t="s">
        <v>7</v>
      </c>
      <c r="B57" s="96"/>
      <c r="C57" s="96">
        <v>0</v>
      </c>
      <c r="D57" s="96"/>
      <c r="E57" s="96">
        <v>0</v>
      </c>
      <c r="F57" s="96">
        <v>0</v>
      </c>
      <c r="G57" s="96">
        <v>0</v>
      </c>
      <c r="H57" s="89">
        <v>0</v>
      </c>
      <c r="I57" s="89">
        <v>0</v>
      </c>
      <c r="J57" s="96">
        <v>0</v>
      </c>
      <c r="K57" s="96">
        <v>0</v>
      </c>
      <c r="L57" s="96">
        <v>12</v>
      </c>
      <c r="M57" s="96">
        <v>22</v>
      </c>
      <c r="N57" s="89">
        <v>28</v>
      </c>
      <c r="O57" s="238">
        <v>34</v>
      </c>
      <c r="P57" s="238">
        <v>43</v>
      </c>
      <c r="Q57" s="286">
        <v>36</v>
      </c>
      <c r="R57" s="286">
        <f>43+2</f>
        <v>45</v>
      </c>
      <c r="S57" s="310">
        <v>39</v>
      </c>
      <c r="T57" s="286">
        <v>56</v>
      </c>
      <c r="U57" s="501">
        <f>70+1</f>
        <v>71</v>
      </c>
      <c r="V57" s="510">
        <v>42</v>
      </c>
      <c r="W57" s="253">
        <f>55+2</f>
        <v>57</v>
      </c>
      <c r="X57" s="89">
        <v>59</v>
      </c>
      <c r="Y57" s="89">
        <v>48</v>
      </c>
      <c r="Z57" s="88">
        <v>39</v>
      </c>
      <c r="AA57" s="88">
        <v>48</v>
      </c>
      <c r="AB57" s="88">
        <v>58</v>
      </c>
      <c r="AC57" s="88">
        <v>49</v>
      </c>
      <c r="AD57" s="88">
        <v>56</v>
      </c>
      <c r="AE57" s="88">
        <v>36</v>
      </c>
      <c r="AF57" s="97">
        <v>53</v>
      </c>
      <c r="AG57" s="109">
        <f t="shared" ref="AG57:AG61" si="17">IF(AF57=0," ",IF(AJ57&gt;20,(AF57-AE57)/AE57," "))</f>
        <v>0.47222222222222221</v>
      </c>
      <c r="AH57" s="211">
        <f t="shared" ref="AH57:AH61" si="18">IF(AF57=0," ",IF(AJ57&gt;20,(AF57-AA57)/AA57," "))</f>
        <v>0.10416666666666667</v>
      </c>
      <c r="AI57" s="212">
        <f t="shared" ref="AI57:AI61" si="19">IF(AF57=0," ",(IF(AJ57&gt;20,(AF57-V57)/V57," ")))</f>
        <v>0.26190476190476192</v>
      </c>
      <c r="AJ57" s="223">
        <f t="shared" ref="AJ57:AJ61" si="20">IF(AD57&gt;0,AVERAGE(AD57:AF57),"  ")</f>
        <v>48.333333333333336</v>
      </c>
      <c r="AK57" s="331">
        <f t="shared" si="4"/>
        <v>10</v>
      </c>
    </row>
    <row r="58" spans="1:37" ht="13.2" x14ac:dyDescent="0.25">
      <c r="A58" s="357" t="s">
        <v>8</v>
      </c>
      <c r="B58" s="71">
        <v>163</v>
      </c>
      <c r="C58" s="71">
        <v>161</v>
      </c>
      <c r="D58" s="71">
        <v>185</v>
      </c>
      <c r="E58" s="71">
        <v>160</v>
      </c>
      <c r="F58" s="71">
        <v>167</v>
      </c>
      <c r="G58" s="71">
        <v>137</v>
      </c>
      <c r="H58" s="5">
        <v>168</v>
      </c>
      <c r="I58" s="5">
        <v>169</v>
      </c>
      <c r="J58" s="71">
        <v>194</v>
      </c>
      <c r="K58" s="71">
        <v>145</v>
      </c>
      <c r="L58" s="71">
        <v>108</v>
      </c>
      <c r="M58" s="71">
        <v>129</v>
      </c>
      <c r="N58" s="5">
        <v>113</v>
      </c>
      <c r="O58" s="239">
        <v>98</v>
      </c>
      <c r="P58" s="239">
        <v>97</v>
      </c>
      <c r="Q58" s="280">
        <v>93</v>
      </c>
      <c r="R58" s="280">
        <f>96+4</f>
        <v>100</v>
      </c>
      <c r="S58" s="311">
        <f>113+3</f>
        <v>116</v>
      </c>
      <c r="T58" s="280">
        <v>117</v>
      </c>
      <c r="U58" s="502">
        <f>115+9</f>
        <v>124</v>
      </c>
      <c r="V58" s="511">
        <v>102</v>
      </c>
      <c r="W58" s="249">
        <v>122</v>
      </c>
      <c r="X58" s="5">
        <v>113</v>
      </c>
      <c r="Y58" s="5">
        <v>81</v>
      </c>
      <c r="Z58" s="72">
        <v>90</v>
      </c>
      <c r="AA58" s="72">
        <v>77</v>
      </c>
      <c r="AB58" s="72">
        <v>49</v>
      </c>
      <c r="AC58" s="72">
        <v>76</v>
      </c>
      <c r="AD58" s="72">
        <v>78</v>
      </c>
      <c r="AE58" s="72">
        <v>67</v>
      </c>
      <c r="AF58" s="73">
        <f>65+1</f>
        <v>66</v>
      </c>
      <c r="AG58" s="205">
        <f t="shared" si="17"/>
        <v>-1.4925373134328358E-2</v>
      </c>
      <c r="AH58" s="206">
        <f t="shared" si="18"/>
        <v>-0.14285714285714285</v>
      </c>
      <c r="AI58" s="207">
        <f t="shared" si="19"/>
        <v>-0.35294117647058826</v>
      </c>
      <c r="AJ58" s="120">
        <f t="shared" si="20"/>
        <v>70.333333333333329</v>
      </c>
      <c r="AK58" s="331">
        <f t="shared" si="4"/>
        <v>7</v>
      </c>
    </row>
    <row r="59" spans="1:37" ht="13.2" x14ac:dyDescent="0.25">
      <c r="A59" s="476" t="s">
        <v>141</v>
      </c>
      <c r="B59" s="74"/>
      <c r="C59" s="74"/>
      <c r="D59" s="74"/>
      <c r="E59" s="74"/>
      <c r="F59" s="74"/>
      <c r="G59" s="74"/>
      <c r="H59" s="7"/>
      <c r="I59" s="7"/>
      <c r="J59" s="74"/>
      <c r="K59" s="74"/>
      <c r="L59" s="74"/>
      <c r="M59" s="74"/>
      <c r="N59" s="7"/>
      <c r="O59" s="240"/>
      <c r="P59" s="240"/>
      <c r="Q59" s="281"/>
      <c r="R59" s="281"/>
      <c r="S59" s="312"/>
      <c r="T59" s="281"/>
      <c r="U59" s="503">
        <v>0</v>
      </c>
      <c r="V59" s="564"/>
      <c r="W59" s="565"/>
      <c r="X59" s="566"/>
      <c r="Y59" s="566"/>
      <c r="Z59" s="567"/>
      <c r="AA59" s="569"/>
      <c r="AB59" s="570"/>
      <c r="AC59" s="570"/>
      <c r="AD59" s="570"/>
      <c r="AE59" s="75">
        <v>3</v>
      </c>
      <c r="AF59" s="76">
        <v>11</v>
      </c>
      <c r="AG59" s="208">
        <f t="shared" si="17"/>
        <v>2.6666666666666665</v>
      </c>
      <c r="AH59" s="209"/>
      <c r="AI59" s="210"/>
      <c r="AJ59" s="222" t="str">
        <f t="shared" si="20"/>
        <v xml:space="preserve">  </v>
      </c>
      <c r="AK59" s="331">
        <f t="shared" si="4"/>
        <v>28</v>
      </c>
    </row>
    <row r="60" spans="1:37" ht="13.2" x14ac:dyDescent="0.25">
      <c r="A60" s="357" t="s">
        <v>130</v>
      </c>
      <c r="B60" s="71"/>
      <c r="C60" s="71"/>
      <c r="D60" s="71"/>
      <c r="E60" s="71"/>
      <c r="F60" s="71"/>
      <c r="G60" s="71"/>
      <c r="H60" s="5"/>
      <c r="I60" s="5"/>
      <c r="J60" s="71"/>
      <c r="K60" s="71"/>
      <c r="L60" s="71"/>
      <c r="M60" s="71"/>
      <c r="N60" s="5"/>
      <c r="O60" s="239"/>
      <c r="P60" s="239"/>
      <c r="Q60" s="280"/>
      <c r="R60" s="280">
        <v>0</v>
      </c>
      <c r="S60" s="311"/>
      <c r="T60" s="280">
        <v>0</v>
      </c>
      <c r="U60" s="484"/>
      <c r="V60" s="571"/>
      <c r="W60" s="249">
        <v>0</v>
      </c>
      <c r="X60" s="5">
        <v>0</v>
      </c>
      <c r="Y60" s="5">
        <v>0</v>
      </c>
      <c r="Z60" s="484"/>
      <c r="AA60" s="72">
        <v>1</v>
      </c>
      <c r="AB60" s="72">
        <v>0</v>
      </c>
      <c r="AC60" s="72">
        <v>5</v>
      </c>
      <c r="AD60" s="72">
        <v>7</v>
      </c>
      <c r="AE60" s="72">
        <v>13</v>
      </c>
      <c r="AF60" s="73">
        <v>7</v>
      </c>
      <c r="AG60" s="205" t="str">
        <f t="shared" si="17"/>
        <v xml:space="preserve"> </v>
      </c>
      <c r="AH60" s="206" t="str">
        <f t="shared" si="18"/>
        <v xml:space="preserve"> </v>
      </c>
      <c r="AI60" s="207" t="str">
        <f t="shared" si="19"/>
        <v xml:space="preserve"> </v>
      </c>
      <c r="AJ60" s="120">
        <f t="shared" si="20"/>
        <v>9</v>
      </c>
      <c r="AK60" s="331">
        <f t="shared" si="4"/>
        <v>35</v>
      </c>
    </row>
    <row r="61" spans="1:37" ht="13.2" x14ac:dyDescent="0.25">
      <c r="A61" s="472" t="s">
        <v>21</v>
      </c>
      <c r="B61" s="105">
        <v>38</v>
      </c>
      <c r="C61" s="105">
        <v>48</v>
      </c>
      <c r="D61" s="105">
        <v>68</v>
      </c>
      <c r="E61" s="105">
        <v>56</v>
      </c>
      <c r="F61" s="105">
        <v>52</v>
      </c>
      <c r="G61" s="105">
        <v>63</v>
      </c>
      <c r="H61" s="90">
        <v>62</v>
      </c>
      <c r="I61" s="90">
        <v>63</v>
      </c>
      <c r="J61" s="105">
        <v>37</v>
      </c>
      <c r="K61" s="105">
        <v>38</v>
      </c>
      <c r="L61" s="105">
        <v>34</v>
      </c>
      <c r="M61" s="105">
        <v>41</v>
      </c>
      <c r="N61" s="90">
        <v>43</v>
      </c>
      <c r="O61" s="247">
        <v>30</v>
      </c>
      <c r="P61" s="247">
        <v>28</v>
      </c>
      <c r="Q61" s="289">
        <v>37</v>
      </c>
      <c r="R61" s="289">
        <v>38</v>
      </c>
      <c r="S61" s="316">
        <v>29</v>
      </c>
      <c r="T61" s="289">
        <v>44</v>
      </c>
      <c r="U61" s="517">
        <v>40</v>
      </c>
      <c r="V61" s="519">
        <v>22</v>
      </c>
      <c r="W61" s="255">
        <v>21</v>
      </c>
      <c r="X61" s="90">
        <v>31</v>
      </c>
      <c r="Y61" s="90">
        <v>22</v>
      </c>
      <c r="Z61" s="79">
        <v>18</v>
      </c>
      <c r="AA61" s="79">
        <v>25</v>
      </c>
      <c r="AB61" s="79">
        <v>25</v>
      </c>
      <c r="AC61" s="79">
        <v>35</v>
      </c>
      <c r="AD61" s="79">
        <v>18</v>
      </c>
      <c r="AE61" s="79">
        <v>30</v>
      </c>
      <c r="AF61" s="78">
        <v>29</v>
      </c>
      <c r="AG61" s="473">
        <f t="shared" si="17"/>
        <v>-3.3333333333333333E-2</v>
      </c>
      <c r="AH61" s="474">
        <f t="shared" si="18"/>
        <v>0.16</v>
      </c>
      <c r="AI61" s="475">
        <f t="shared" si="19"/>
        <v>0.31818181818181818</v>
      </c>
      <c r="AJ61" s="469">
        <f t="shared" si="20"/>
        <v>25.666666666666668</v>
      </c>
      <c r="AK61" s="331">
        <f t="shared" si="4"/>
        <v>18</v>
      </c>
    </row>
    <row r="62" spans="1:37" ht="12" x14ac:dyDescent="0.25">
      <c r="T62" s="410"/>
      <c r="U62" s="410"/>
      <c r="V62" s="410"/>
      <c r="W62" s="410"/>
      <c r="X62" s="410"/>
      <c r="Y62" s="411"/>
      <c r="Z62" s="411"/>
      <c r="AA62" s="411"/>
      <c r="AB62" s="411"/>
      <c r="AC62" s="411"/>
      <c r="AD62" s="411"/>
      <c r="AE62" s="411"/>
      <c r="AF62" s="411"/>
      <c r="AG62" s="412"/>
      <c r="AH62" s="412"/>
      <c r="AI62" s="3"/>
    </row>
  </sheetData>
  <mergeCells count="6">
    <mergeCell ref="A1:AJ1"/>
    <mergeCell ref="A3:A4"/>
    <mergeCell ref="AG3:AG4"/>
    <mergeCell ref="AH3:AH4"/>
    <mergeCell ref="AI3:AI4"/>
    <mergeCell ref="AJ3:AJ4"/>
  </mergeCells>
  <printOptions horizontalCentered="1"/>
  <pageMargins left="0.5" right="0.5" top="0.48" bottom="0.5" header="0.5" footer="0.25"/>
  <pageSetup scale="77" orientation="portrait" r:id="rId1"/>
  <headerFooter alignWithMargins="0">
    <oddFooter>&amp;L&amp;"Times New Roman,Regular"&amp;9Source: MHEC DIS&amp;C&amp;"Times New Roman,Regular"&amp;10C-6.0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22223-02A4-4C8B-8B8E-97C2CB4F8850}">
  <dimension ref="A1:FW62"/>
  <sheetViews>
    <sheetView showGridLines="0" topLeftCell="A37" zoomScaleNormal="100" workbookViewId="0">
      <selection activeCell="AM72" sqref="AM72"/>
    </sheetView>
  </sheetViews>
  <sheetFormatPr defaultColWidth="10.7109375" defaultRowHeight="10.199999999999999" x14ac:dyDescent="0.2"/>
  <cols>
    <col min="1" max="1" width="45.85546875" style="319" customWidth="1"/>
    <col min="2" max="9" width="7.42578125" style="319" hidden="1" customWidth="1"/>
    <col min="10" max="10" width="7.42578125" style="402" hidden="1" customWidth="1"/>
    <col min="11" max="11" width="7.42578125" style="403" hidden="1" customWidth="1"/>
    <col min="12" max="15" width="7.42578125" style="402" hidden="1" customWidth="1"/>
    <col min="16" max="16" width="7.42578125" style="95" hidden="1" customWidth="1"/>
    <col min="17" max="17" width="7.42578125" style="404" hidden="1" customWidth="1"/>
    <col min="18" max="18" width="7.28515625" style="404" hidden="1" customWidth="1"/>
    <col min="19" max="19" width="8.28515625" style="405" hidden="1" customWidth="1"/>
    <col min="20" max="20" width="8.28515625" style="404" hidden="1" customWidth="1"/>
    <col min="21" max="21" width="8.140625" style="404" hidden="1" customWidth="1"/>
    <col min="22" max="22" width="8.140625" style="404" customWidth="1"/>
    <col min="23" max="24" width="8.140625" style="404" hidden="1" customWidth="1"/>
    <col min="25" max="25" width="10" style="404" hidden="1" customWidth="1"/>
    <col min="26" max="26" width="8.140625" style="404" hidden="1" customWidth="1"/>
    <col min="27" max="32" width="8.140625" style="404" customWidth="1"/>
    <col min="33" max="33" width="8.85546875" style="404" customWidth="1"/>
    <col min="34" max="35" width="8.85546875" style="319" customWidth="1"/>
    <col min="36" max="36" width="9.7109375" style="319" customWidth="1"/>
    <col min="37" max="37" width="12.85546875" style="319" customWidth="1"/>
    <col min="38" max="43" width="10.7109375" style="319"/>
    <col min="44" max="44" width="10.85546875" style="319" customWidth="1"/>
    <col min="45" max="16384" width="10.7109375" style="334"/>
  </cols>
  <sheetData>
    <row r="1" spans="1:179" ht="13.8" x14ac:dyDescent="0.25">
      <c r="A1" s="787" t="s">
        <v>152</v>
      </c>
      <c r="B1" s="787"/>
      <c r="C1" s="787"/>
      <c r="D1" s="787"/>
      <c r="E1" s="787"/>
      <c r="F1" s="787"/>
      <c r="G1" s="787"/>
      <c r="H1" s="787"/>
      <c r="I1" s="787"/>
      <c r="J1" s="787"/>
      <c r="K1" s="787"/>
      <c r="L1" s="787"/>
      <c r="M1" s="787"/>
      <c r="N1" s="787"/>
      <c r="O1" s="787"/>
      <c r="P1" s="787"/>
      <c r="Q1" s="787"/>
      <c r="R1" s="787"/>
      <c r="S1" s="787"/>
      <c r="T1" s="787"/>
      <c r="U1" s="787"/>
      <c r="V1" s="787"/>
      <c r="W1" s="787"/>
      <c r="X1" s="787"/>
      <c r="Y1" s="787"/>
      <c r="Z1" s="787"/>
      <c r="AA1" s="787"/>
      <c r="AB1" s="787"/>
      <c r="AC1" s="787"/>
      <c r="AD1" s="787"/>
      <c r="AE1" s="787"/>
      <c r="AF1" s="787"/>
      <c r="AG1" s="787"/>
      <c r="AH1" s="787"/>
      <c r="AI1" s="787"/>
      <c r="AJ1" s="787"/>
    </row>
    <row r="2" spans="1:179" x14ac:dyDescent="0.2">
      <c r="A2" s="335"/>
      <c r="B2" s="336"/>
      <c r="C2" s="336"/>
      <c r="D2" s="336"/>
      <c r="E2" s="336"/>
      <c r="F2" s="336"/>
      <c r="G2" s="336"/>
      <c r="H2" s="336"/>
      <c r="I2" s="336"/>
      <c r="J2" s="337"/>
      <c r="K2" s="337"/>
      <c r="L2" s="338"/>
      <c r="M2" s="338"/>
      <c r="N2" s="338"/>
      <c r="O2" s="337"/>
      <c r="P2" s="339"/>
      <c r="Q2" s="337"/>
      <c r="R2" s="337"/>
      <c r="S2" s="340"/>
      <c r="T2" s="337"/>
      <c r="U2" s="337"/>
      <c r="V2" s="337"/>
      <c r="W2" s="337"/>
      <c r="X2" s="337"/>
      <c r="Y2" s="337"/>
      <c r="Z2" s="337"/>
      <c r="AA2" s="337"/>
      <c r="AB2" s="337"/>
      <c r="AC2" s="337"/>
      <c r="AD2" s="337"/>
      <c r="AE2" s="337"/>
      <c r="AF2" s="337"/>
      <c r="AG2" s="337"/>
      <c r="AH2" s="336"/>
      <c r="AI2" s="336"/>
      <c r="AJ2" s="336"/>
    </row>
    <row r="3" spans="1:179" ht="12" customHeight="1" x14ac:dyDescent="0.25">
      <c r="A3" s="790" t="s">
        <v>113</v>
      </c>
      <c r="B3" s="341"/>
      <c r="C3" s="342"/>
      <c r="D3" s="342"/>
      <c r="E3" s="341"/>
      <c r="F3" s="341"/>
      <c r="G3" s="342"/>
      <c r="H3" s="343"/>
      <c r="I3" s="343"/>
      <c r="J3" s="342"/>
      <c r="K3" s="344"/>
      <c r="L3" s="344"/>
      <c r="M3" s="344"/>
      <c r="N3" s="343"/>
      <c r="O3" s="345"/>
      <c r="P3" s="346"/>
      <c r="Q3" s="347"/>
      <c r="R3" s="347"/>
      <c r="S3" s="348"/>
      <c r="T3" s="347"/>
      <c r="U3" s="520" t="s">
        <v>112</v>
      </c>
      <c r="V3" s="522" t="s">
        <v>112</v>
      </c>
      <c r="W3" s="499" t="s">
        <v>112</v>
      </c>
      <c r="X3" s="432" t="s">
        <v>112</v>
      </c>
      <c r="Y3" s="432" t="s">
        <v>112</v>
      </c>
      <c r="Z3" s="431" t="s">
        <v>112</v>
      </c>
      <c r="AA3" s="431" t="s">
        <v>112</v>
      </c>
      <c r="AB3" s="431" t="s">
        <v>112</v>
      </c>
      <c r="AC3" s="431" t="s">
        <v>112</v>
      </c>
      <c r="AD3" s="431" t="s">
        <v>112</v>
      </c>
      <c r="AE3" s="431" t="s">
        <v>112</v>
      </c>
      <c r="AF3" s="433" t="s">
        <v>112</v>
      </c>
      <c r="AG3" s="788" t="s">
        <v>145</v>
      </c>
      <c r="AH3" s="794" t="s">
        <v>115</v>
      </c>
      <c r="AI3" s="788" t="s">
        <v>116</v>
      </c>
      <c r="AJ3" s="796" t="s">
        <v>142</v>
      </c>
    </row>
    <row r="4" spans="1:179" ht="12" x14ac:dyDescent="0.25">
      <c r="A4" s="791"/>
      <c r="B4" s="58" t="s">
        <v>82</v>
      </c>
      <c r="C4" s="59" t="s">
        <v>32</v>
      </c>
      <c r="D4" s="58" t="s">
        <v>38</v>
      </c>
      <c r="E4" s="59" t="s">
        <v>39</v>
      </c>
      <c r="F4" s="59" t="s">
        <v>40</v>
      </c>
      <c r="G4" s="58" t="s">
        <v>41</v>
      </c>
      <c r="H4" s="60" t="s">
        <v>42</v>
      </c>
      <c r="I4" s="61" t="s">
        <v>34</v>
      </c>
      <c r="J4" s="62" t="s">
        <v>35</v>
      </c>
      <c r="K4" s="62" t="s">
        <v>36</v>
      </c>
      <c r="L4" s="62" t="s">
        <v>37</v>
      </c>
      <c r="M4" s="62" t="s">
        <v>33</v>
      </c>
      <c r="N4" s="61" t="s">
        <v>43</v>
      </c>
      <c r="O4" s="237" t="s">
        <v>44</v>
      </c>
      <c r="P4" s="237" t="s">
        <v>47</v>
      </c>
      <c r="Q4" s="279" t="s">
        <v>50</v>
      </c>
      <c r="R4" s="279" t="s">
        <v>53</v>
      </c>
      <c r="S4" s="317" t="s">
        <v>54</v>
      </c>
      <c r="T4" s="325" t="s">
        <v>57</v>
      </c>
      <c r="U4" s="521" t="s">
        <v>58</v>
      </c>
      <c r="V4" s="523" t="s">
        <v>59</v>
      </c>
      <c r="W4" s="307" t="s">
        <v>60</v>
      </c>
      <c r="X4" s="63" t="s">
        <v>62</v>
      </c>
      <c r="Y4" s="63" t="s">
        <v>64</v>
      </c>
      <c r="Z4" s="6" t="s">
        <v>95</v>
      </c>
      <c r="AA4" s="6" t="s">
        <v>98</v>
      </c>
      <c r="AB4" s="6" t="s">
        <v>99</v>
      </c>
      <c r="AC4" s="6" t="s">
        <v>102</v>
      </c>
      <c r="AD4" s="6" t="s">
        <v>106</v>
      </c>
      <c r="AE4" s="6" t="s">
        <v>108</v>
      </c>
      <c r="AF4" s="64" t="s">
        <v>147</v>
      </c>
      <c r="AG4" s="789"/>
      <c r="AH4" s="795"/>
      <c r="AI4" s="789"/>
      <c r="AJ4" s="797"/>
    </row>
    <row r="5" spans="1:179" ht="12" x14ac:dyDescent="0.25">
      <c r="A5" s="493" t="s">
        <v>66</v>
      </c>
      <c r="B5" s="494"/>
      <c r="C5" s="494"/>
      <c r="D5" s="494"/>
      <c r="E5" s="494"/>
      <c r="F5" s="494"/>
      <c r="G5" s="494"/>
      <c r="H5" s="494"/>
      <c r="I5" s="494"/>
      <c r="J5" s="494"/>
      <c r="K5" s="494"/>
      <c r="L5" s="494"/>
      <c r="M5" s="494"/>
      <c r="N5" s="494"/>
      <c r="O5" s="494"/>
      <c r="P5" s="494"/>
      <c r="Q5" s="494"/>
      <c r="R5" s="494"/>
      <c r="S5" s="494"/>
      <c r="T5" s="494"/>
      <c r="U5" s="494"/>
      <c r="V5" s="494"/>
      <c r="W5" s="494"/>
      <c r="X5" s="494"/>
      <c r="Y5" s="494"/>
      <c r="Z5" s="494"/>
      <c r="AA5" s="494"/>
      <c r="AB5" s="494"/>
      <c r="AC5" s="494"/>
      <c r="AD5" s="494"/>
      <c r="AE5" s="494"/>
      <c r="AF5" s="494"/>
      <c r="AG5" s="494"/>
      <c r="AH5" s="494"/>
      <c r="AI5" s="494"/>
      <c r="AJ5" s="495"/>
    </row>
    <row r="6" spans="1:179" ht="12" x14ac:dyDescent="0.25">
      <c r="A6" s="496" t="s">
        <v>67</v>
      </c>
      <c r="B6" s="497"/>
      <c r="C6" s="497"/>
      <c r="D6" s="497"/>
      <c r="E6" s="497"/>
      <c r="F6" s="497"/>
      <c r="G6" s="497"/>
      <c r="H6" s="497"/>
      <c r="I6" s="497"/>
      <c r="J6" s="497"/>
      <c r="K6" s="497"/>
      <c r="L6" s="497"/>
      <c r="M6" s="497"/>
      <c r="N6" s="497"/>
      <c r="O6" s="497"/>
      <c r="P6" s="497"/>
      <c r="Q6" s="497"/>
      <c r="R6" s="497"/>
      <c r="S6" s="497"/>
      <c r="T6" s="497"/>
      <c r="U6" s="497"/>
      <c r="V6" s="497"/>
      <c r="W6" s="497"/>
      <c r="X6" s="497"/>
      <c r="Y6" s="497"/>
      <c r="Z6" s="497"/>
      <c r="AA6" s="497"/>
      <c r="AB6" s="497"/>
      <c r="AC6" s="497"/>
      <c r="AD6" s="497"/>
      <c r="AE6" s="497"/>
      <c r="AF6" s="497"/>
      <c r="AG6" s="497"/>
      <c r="AH6" s="497"/>
      <c r="AI6" s="497"/>
      <c r="AJ6" s="498"/>
    </row>
    <row r="7" spans="1:179" ht="12" x14ac:dyDescent="0.25">
      <c r="A7" s="490" t="s">
        <v>68</v>
      </c>
      <c r="B7" s="491"/>
      <c r="C7" s="491"/>
      <c r="D7" s="491"/>
      <c r="E7" s="491"/>
      <c r="F7" s="491"/>
      <c r="G7" s="491"/>
      <c r="H7" s="491"/>
      <c r="I7" s="491"/>
      <c r="J7" s="491"/>
      <c r="K7" s="491"/>
      <c r="L7" s="491"/>
      <c r="M7" s="491"/>
      <c r="N7" s="491"/>
      <c r="O7" s="491"/>
      <c r="P7" s="491"/>
      <c r="Q7" s="491"/>
      <c r="R7" s="491"/>
      <c r="S7" s="491"/>
      <c r="T7" s="491"/>
      <c r="U7" s="491"/>
      <c r="V7" s="491"/>
      <c r="W7" s="491"/>
      <c r="X7" s="491"/>
      <c r="Y7" s="491"/>
      <c r="Z7" s="491"/>
      <c r="AA7" s="491"/>
      <c r="AB7" s="491"/>
      <c r="AC7" s="491"/>
      <c r="AD7" s="491"/>
      <c r="AE7" s="491"/>
      <c r="AF7" s="491"/>
      <c r="AG7" s="491"/>
      <c r="AH7" s="491"/>
      <c r="AI7" s="491"/>
      <c r="AJ7" s="492"/>
    </row>
    <row r="8" spans="1:179" ht="12" x14ac:dyDescent="0.25">
      <c r="A8" s="349" t="s">
        <v>117</v>
      </c>
      <c r="B8" s="96"/>
      <c r="C8" s="96"/>
      <c r="D8" s="96"/>
      <c r="E8" s="96"/>
      <c r="F8" s="96"/>
      <c r="G8" s="96"/>
      <c r="H8" s="89"/>
      <c r="I8" s="89">
        <v>8</v>
      </c>
      <c r="J8" s="96">
        <v>9</v>
      </c>
      <c r="K8" s="96">
        <v>3</v>
      </c>
      <c r="L8" s="96">
        <v>7</v>
      </c>
      <c r="M8" s="96">
        <v>9</v>
      </c>
      <c r="N8" s="89">
        <v>11</v>
      </c>
      <c r="O8" s="238">
        <v>6</v>
      </c>
      <c r="P8" s="238">
        <v>10</v>
      </c>
      <c r="Q8" s="286">
        <v>10</v>
      </c>
      <c r="R8" s="286">
        <v>9</v>
      </c>
      <c r="S8" s="310">
        <v>6</v>
      </c>
      <c r="T8" s="286">
        <v>7</v>
      </c>
      <c r="U8" s="501">
        <v>6</v>
      </c>
      <c r="V8" s="510">
        <v>11</v>
      </c>
      <c r="W8" s="253">
        <v>10</v>
      </c>
      <c r="X8" s="89">
        <v>7</v>
      </c>
      <c r="Y8" s="89">
        <v>0</v>
      </c>
      <c r="Z8" s="485"/>
      <c r="AA8" s="544"/>
      <c r="AB8" s="545"/>
      <c r="AC8" s="545"/>
      <c r="AD8" s="545"/>
      <c r="AE8" s="545"/>
      <c r="AF8" s="546"/>
      <c r="AG8" s="500" t="str">
        <f>IF(AF8=0," ",IF(AJ8&gt;20,(AF8-AE8)/AE8," "))</f>
        <v xml:space="preserve"> </v>
      </c>
      <c r="AH8" s="305" t="str">
        <f>IF(AF8=0," ",IF(AJ8&gt;20,(AF8-AA8)/AA8," "))</f>
        <v xml:space="preserve"> </v>
      </c>
      <c r="AI8" s="306" t="str">
        <f>IF(AF8=0," ",(IF(AJ8&gt;20,(AF8-V8)/V8," ")))</f>
        <v xml:space="preserve"> </v>
      </c>
      <c r="AJ8" s="223" t="str">
        <f>IF(AD8&gt;0,AVERAGE(AD8:AF8),"  ")</f>
        <v xml:space="preserve">  </v>
      </c>
      <c r="AK8" s="594" t="s">
        <v>107</v>
      </c>
      <c r="AL8" s="322" t="s">
        <v>103</v>
      </c>
      <c r="AM8" s="322" t="s">
        <v>105</v>
      </c>
    </row>
    <row r="9" spans="1:179" ht="14.4" x14ac:dyDescent="0.3">
      <c r="A9" s="350" t="s">
        <v>10</v>
      </c>
      <c r="B9" s="71"/>
      <c r="C9" s="71"/>
      <c r="D9" s="71"/>
      <c r="E9" s="71"/>
      <c r="F9" s="71"/>
      <c r="G9" s="71"/>
      <c r="H9" s="5"/>
      <c r="I9" s="5"/>
      <c r="J9" s="71">
        <v>19</v>
      </c>
      <c r="K9" s="71">
        <v>18</v>
      </c>
      <c r="L9" s="71">
        <v>33</v>
      </c>
      <c r="M9" s="71">
        <v>43</v>
      </c>
      <c r="N9" s="5">
        <v>45</v>
      </c>
      <c r="O9" s="239">
        <v>68</v>
      </c>
      <c r="P9" s="239">
        <v>49</v>
      </c>
      <c r="Q9" s="280">
        <v>81</v>
      </c>
      <c r="R9" s="280">
        <v>90</v>
      </c>
      <c r="S9" s="311">
        <v>102</v>
      </c>
      <c r="T9" s="280">
        <v>110</v>
      </c>
      <c r="U9" s="502">
        <f>143+1</f>
        <v>144</v>
      </c>
      <c r="V9" s="511">
        <v>139</v>
      </c>
      <c r="W9" s="249">
        <v>128</v>
      </c>
      <c r="X9" s="5">
        <v>171</v>
      </c>
      <c r="Y9" s="5">
        <v>147</v>
      </c>
      <c r="Z9" s="72">
        <v>126</v>
      </c>
      <c r="AA9" s="72">
        <v>134</v>
      </c>
      <c r="AB9" s="72">
        <v>111</v>
      </c>
      <c r="AC9" s="72">
        <v>145</v>
      </c>
      <c r="AD9" s="72">
        <v>114</v>
      </c>
      <c r="AE9" s="72">
        <v>93</v>
      </c>
      <c r="AF9" s="73">
        <v>83</v>
      </c>
      <c r="AG9" s="593">
        <f t="shared" ref="AG9:AG61" si="0">IF(AF9=0," ",IF(AJ9&gt;20,(AF9-AE9)/AE9," "))</f>
        <v>-0.10752688172043011</v>
      </c>
      <c r="AH9" s="206">
        <f t="shared" ref="AH9:AH61" si="1">IF(AF9=0," ",IF(AJ9&gt;20,(AF9-AA9)/AA9," "))</f>
        <v>-0.38059701492537312</v>
      </c>
      <c r="AI9" s="207">
        <f t="shared" ref="AI9:AI61" si="2">IF(AF9=0," ",(IF(AJ9&gt;20,(AF9-V9)/V9," ")))</f>
        <v>-0.40287769784172661</v>
      </c>
      <c r="AJ9" s="120">
        <f t="shared" ref="AJ9:AJ61" si="3">IF(AD9&gt;0,AVERAGE(AD9:AF9),"  ")</f>
        <v>96.666666666666671</v>
      </c>
      <c r="AK9" s="595">
        <f>RANK(AF9,$AF$9:$AF$61)</f>
        <v>4</v>
      </c>
      <c r="AL9" s="326" t="str">
        <f>IF(AF9&lt;5,"Yes","No")</f>
        <v>No</v>
      </c>
      <c r="AM9" s="326" t="str">
        <f>IF((AE9+AF9+AD9)&lt;15,"Yes","No")</f>
        <v>No</v>
      </c>
    </row>
    <row r="10" spans="1:179" ht="13.2" x14ac:dyDescent="0.25">
      <c r="A10" s="350" t="s">
        <v>119</v>
      </c>
      <c r="B10" s="71"/>
      <c r="C10" s="71"/>
      <c r="D10" s="71"/>
      <c r="E10" s="71"/>
      <c r="F10" s="71"/>
      <c r="G10" s="71"/>
      <c r="H10" s="5"/>
      <c r="I10" s="5"/>
      <c r="J10" s="71"/>
      <c r="K10" s="71"/>
      <c r="L10" s="71"/>
      <c r="M10" s="71"/>
      <c r="N10" s="5"/>
      <c r="O10" s="239"/>
      <c r="P10" s="239"/>
      <c r="Q10" s="280"/>
      <c r="R10" s="280"/>
      <c r="S10" s="311"/>
      <c r="T10" s="280"/>
      <c r="U10" s="484"/>
      <c r="V10" s="547"/>
      <c r="W10" s="549"/>
      <c r="X10" s="549"/>
      <c r="Y10" s="549"/>
      <c r="Z10" s="549"/>
      <c r="AA10" s="549"/>
      <c r="AB10" s="549"/>
      <c r="AC10" s="549"/>
      <c r="AD10" s="548"/>
      <c r="AE10" s="5">
        <v>15</v>
      </c>
      <c r="AF10" s="73">
        <v>35</v>
      </c>
      <c r="AG10" s="205">
        <f t="shared" si="0"/>
        <v>1.3333333333333333</v>
      </c>
      <c r="AH10" s="206"/>
      <c r="AI10" s="207"/>
      <c r="AJ10" s="120" t="str">
        <f t="shared" si="3"/>
        <v xml:space="preserve">  </v>
      </c>
      <c r="AK10" s="331">
        <f t="shared" ref="AK10:AK61" si="4">RANK(AF10,$AF$9:$AF$61)</f>
        <v>14</v>
      </c>
      <c r="AL10" s="326" t="str">
        <f t="shared" ref="AL10:AL40" si="5">IF(AF10&lt;5,"Yes","No")</f>
        <v>No</v>
      </c>
      <c r="AM10" s="326" t="str">
        <f t="shared" ref="AM10:AM40" si="6">IF((AE10+AF10+AD10)&lt;15,"Yes","No")</f>
        <v>No</v>
      </c>
    </row>
    <row r="11" spans="1:179" ht="13.2" x14ac:dyDescent="0.25">
      <c r="A11" s="351" t="s">
        <v>63</v>
      </c>
      <c r="B11" s="74">
        <v>11</v>
      </c>
      <c r="C11" s="74">
        <v>15</v>
      </c>
      <c r="D11" s="74">
        <v>6</v>
      </c>
      <c r="E11" s="74">
        <v>9</v>
      </c>
      <c r="F11" s="74">
        <v>11</v>
      </c>
      <c r="G11" s="74">
        <v>9</v>
      </c>
      <c r="H11" s="7">
        <v>5</v>
      </c>
      <c r="I11" s="7">
        <v>10</v>
      </c>
      <c r="J11" s="74">
        <v>7</v>
      </c>
      <c r="K11" s="74">
        <v>7</v>
      </c>
      <c r="L11" s="74">
        <v>8</v>
      </c>
      <c r="M11" s="74">
        <v>6</v>
      </c>
      <c r="N11" s="7">
        <v>9</v>
      </c>
      <c r="O11" s="240">
        <v>9</v>
      </c>
      <c r="P11" s="240">
        <v>12</v>
      </c>
      <c r="Q11" s="281">
        <v>10</v>
      </c>
      <c r="R11" s="281">
        <v>10</v>
      </c>
      <c r="S11" s="312">
        <v>12</v>
      </c>
      <c r="T11" s="281">
        <v>15</v>
      </c>
      <c r="U11" s="503">
        <v>9</v>
      </c>
      <c r="V11" s="512">
        <v>12</v>
      </c>
      <c r="W11" s="250">
        <v>15</v>
      </c>
      <c r="X11" s="7">
        <v>11</v>
      </c>
      <c r="Y11" s="7">
        <v>15</v>
      </c>
      <c r="Z11" s="75">
        <v>13</v>
      </c>
      <c r="AA11" s="75">
        <v>16</v>
      </c>
      <c r="AB11" s="75">
        <v>14</v>
      </c>
      <c r="AC11" s="75">
        <v>11</v>
      </c>
      <c r="AD11" s="75">
        <v>13</v>
      </c>
      <c r="AE11" s="75">
        <v>9</v>
      </c>
      <c r="AF11" s="76">
        <v>10</v>
      </c>
      <c r="AG11" s="208" t="str">
        <f t="shared" si="0"/>
        <v xml:space="preserve"> </v>
      </c>
      <c r="AH11" s="209" t="str">
        <f t="shared" si="1"/>
        <v xml:space="preserve"> </v>
      </c>
      <c r="AI11" s="210" t="str">
        <f t="shared" si="2"/>
        <v xml:space="preserve"> </v>
      </c>
      <c r="AJ11" s="222">
        <f t="shared" si="3"/>
        <v>10.666666666666666</v>
      </c>
      <c r="AK11" s="331">
        <f t="shared" si="4"/>
        <v>32</v>
      </c>
      <c r="AL11" s="326" t="str">
        <f t="shared" si="5"/>
        <v>No</v>
      </c>
      <c r="AM11" s="326" t="str">
        <f t="shared" si="6"/>
        <v>No</v>
      </c>
    </row>
    <row r="12" spans="1:179" ht="13.2" x14ac:dyDescent="0.25">
      <c r="A12" s="350" t="s">
        <v>118</v>
      </c>
      <c r="B12" s="71"/>
      <c r="C12" s="71"/>
      <c r="D12" s="71"/>
      <c r="E12" s="71"/>
      <c r="F12" s="71"/>
      <c r="G12" s="71"/>
      <c r="H12" s="5"/>
      <c r="I12" s="5"/>
      <c r="J12" s="71"/>
      <c r="K12" s="71"/>
      <c r="L12" s="71"/>
      <c r="M12" s="71">
        <v>0</v>
      </c>
      <c r="N12" s="5"/>
      <c r="O12" s="239"/>
      <c r="P12" s="239"/>
      <c r="Q12" s="280"/>
      <c r="R12" s="280">
        <v>0</v>
      </c>
      <c r="S12" s="311">
        <v>0</v>
      </c>
      <c r="T12" s="280">
        <v>0</v>
      </c>
      <c r="U12" s="484"/>
      <c r="V12" s="511">
        <v>1</v>
      </c>
      <c r="W12" s="249">
        <v>15</v>
      </c>
      <c r="X12" s="5">
        <v>22</v>
      </c>
      <c r="Y12" s="5">
        <v>34</v>
      </c>
      <c r="Z12" s="72">
        <v>23</v>
      </c>
      <c r="AA12" s="72">
        <v>56</v>
      </c>
      <c r="AB12" s="72">
        <v>42</v>
      </c>
      <c r="AC12" s="72">
        <v>38</v>
      </c>
      <c r="AD12" s="72">
        <v>21</v>
      </c>
      <c r="AE12" s="72">
        <v>29</v>
      </c>
      <c r="AF12" s="73">
        <v>6</v>
      </c>
      <c r="AG12" s="205" t="str">
        <f t="shared" si="0"/>
        <v xml:space="preserve"> </v>
      </c>
      <c r="AH12" s="206" t="str">
        <f t="shared" si="1"/>
        <v xml:space="preserve"> </v>
      </c>
      <c r="AI12" s="207" t="str">
        <f t="shared" si="2"/>
        <v xml:space="preserve"> </v>
      </c>
      <c r="AJ12" s="120">
        <f t="shared" si="3"/>
        <v>18.666666666666668</v>
      </c>
      <c r="AK12" s="331">
        <f t="shared" si="4"/>
        <v>40</v>
      </c>
      <c r="AL12" s="326" t="str">
        <f t="shared" si="5"/>
        <v>No</v>
      </c>
      <c r="AM12" s="326" t="str">
        <f t="shared" si="6"/>
        <v>No</v>
      </c>
    </row>
    <row r="13" spans="1:179" ht="13.2" x14ac:dyDescent="0.25">
      <c r="A13" s="351" t="s">
        <v>25</v>
      </c>
      <c r="B13" s="74">
        <v>14</v>
      </c>
      <c r="C13" s="74">
        <v>21</v>
      </c>
      <c r="D13" s="74">
        <v>19</v>
      </c>
      <c r="E13" s="74">
        <v>18</v>
      </c>
      <c r="F13" s="74">
        <v>17</v>
      </c>
      <c r="G13" s="74">
        <v>14</v>
      </c>
      <c r="H13" s="7">
        <v>7</v>
      </c>
      <c r="I13" s="7">
        <v>11</v>
      </c>
      <c r="J13" s="74">
        <v>7</v>
      </c>
      <c r="K13" s="74">
        <v>11</v>
      </c>
      <c r="L13" s="74">
        <v>10</v>
      </c>
      <c r="M13" s="74">
        <v>15</v>
      </c>
      <c r="N13" s="7">
        <v>24</v>
      </c>
      <c r="O13" s="240">
        <v>23</v>
      </c>
      <c r="P13" s="240">
        <v>27</v>
      </c>
      <c r="Q13" s="281">
        <v>23</v>
      </c>
      <c r="R13" s="281">
        <f>35+1</f>
        <v>36</v>
      </c>
      <c r="S13" s="312">
        <v>23</v>
      </c>
      <c r="T13" s="281">
        <v>31</v>
      </c>
      <c r="U13" s="503">
        <v>37</v>
      </c>
      <c r="V13" s="512">
        <v>37</v>
      </c>
      <c r="W13" s="250">
        <v>36</v>
      </c>
      <c r="X13" s="7">
        <v>29</v>
      </c>
      <c r="Y13" s="7">
        <v>27</v>
      </c>
      <c r="Z13" s="75">
        <v>20</v>
      </c>
      <c r="AA13" s="75">
        <v>22</v>
      </c>
      <c r="AB13" s="75">
        <v>23</v>
      </c>
      <c r="AC13" s="75">
        <v>30</v>
      </c>
      <c r="AD13" s="75">
        <v>30</v>
      </c>
      <c r="AE13" s="75">
        <v>20</v>
      </c>
      <c r="AF13" s="76">
        <v>16</v>
      </c>
      <c r="AG13" s="208">
        <f t="shared" si="0"/>
        <v>-0.2</v>
      </c>
      <c r="AH13" s="209">
        <f t="shared" si="1"/>
        <v>-0.27272727272727271</v>
      </c>
      <c r="AI13" s="210">
        <f t="shared" si="2"/>
        <v>-0.56756756756756754</v>
      </c>
      <c r="AJ13" s="222">
        <f t="shared" si="3"/>
        <v>22</v>
      </c>
      <c r="AK13" s="331">
        <f t="shared" si="4"/>
        <v>24</v>
      </c>
      <c r="AL13" s="326" t="str">
        <f t="shared" si="5"/>
        <v>No</v>
      </c>
      <c r="AM13" s="326" t="str">
        <f t="shared" si="6"/>
        <v>No</v>
      </c>
    </row>
    <row r="14" spans="1:179" s="319" customFormat="1" ht="14.4" x14ac:dyDescent="0.3">
      <c r="A14" s="353" t="s">
        <v>120</v>
      </c>
      <c r="B14" s="113">
        <v>61</v>
      </c>
      <c r="C14" s="113">
        <v>76</v>
      </c>
      <c r="D14" s="113">
        <v>55</v>
      </c>
      <c r="E14" s="113">
        <v>49</v>
      </c>
      <c r="F14" s="113">
        <v>48</v>
      </c>
      <c r="G14" s="113">
        <v>37</v>
      </c>
      <c r="H14" s="114">
        <v>55</v>
      </c>
      <c r="I14" s="114">
        <v>54</v>
      </c>
      <c r="J14" s="113">
        <v>56</v>
      </c>
      <c r="K14" s="113">
        <v>80</v>
      </c>
      <c r="L14" s="113">
        <v>78</v>
      </c>
      <c r="M14" s="113">
        <v>84</v>
      </c>
      <c r="N14" s="114">
        <v>68</v>
      </c>
      <c r="O14" s="242">
        <v>76</v>
      </c>
      <c r="P14" s="242">
        <v>83</v>
      </c>
      <c r="Q14" s="283">
        <v>70</v>
      </c>
      <c r="R14" s="283">
        <v>84</v>
      </c>
      <c r="S14" s="313">
        <v>87</v>
      </c>
      <c r="T14" s="283">
        <v>93</v>
      </c>
      <c r="U14" s="505">
        <v>86</v>
      </c>
      <c r="V14" s="513">
        <v>94</v>
      </c>
      <c r="W14" s="251">
        <v>90</v>
      </c>
      <c r="X14" s="114">
        <v>97</v>
      </c>
      <c r="Y14" s="114">
        <v>87</v>
      </c>
      <c r="Z14" s="113">
        <v>89</v>
      </c>
      <c r="AA14" s="113">
        <v>89</v>
      </c>
      <c r="AB14" s="113">
        <v>83</v>
      </c>
      <c r="AC14" s="113">
        <v>99</v>
      </c>
      <c r="AD14" s="113">
        <v>93</v>
      </c>
      <c r="AE14" s="113">
        <v>85</v>
      </c>
      <c r="AF14" s="77">
        <v>80</v>
      </c>
      <c r="AG14" s="218">
        <f t="shared" si="0"/>
        <v>-5.8823529411764705E-2</v>
      </c>
      <c r="AH14" s="218">
        <f t="shared" si="1"/>
        <v>-0.10112359550561797</v>
      </c>
      <c r="AI14" s="219">
        <f t="shared" si="2"/>
        <v>-0.14893617021276595</v>
      </c>
      <c r="AJ14" s="121">
        <f t="shared" si="3"/>
        <v>86</v>
      </c>
      <c r="AK14" s="595">
        <f t="shared" si="4"/>
        <v>5</v>
      </c>
      <c r="AL14" s="326" t="str">
        <f t="shared" si="5"/>
        <v>No</v>
      </c>
      <c r="AM14" s="326" t="str">
        <f t="shared" si="6"/>
        <v>No</v>
      </c>
      <c r="AS14" s="334"/>
      <c r="AT14" s="334"/>
      <c r="AU14" s="334"/>
      <c r="AV14" s="334"/>
      <c r="AW14" s="334"/>
      <c r="AX14" s="334"/>
      <c r="AY14" s="334"/>
      <c r="AZ14" s="334"/>
      <c r="BA14" s="334"/>
      <c r="BB14" s="334"/>
      <c r="BC14" s="334"/>
      <c r="BD14" s="334"/>
      <c r="BE14" s="334"/>
      <c r="BF14" s="334"/>
      <c r="BG14" s="334"/>
      <c r="BH14" s="334"/>
      <c r="BI14" s="334"/>
      <c r="BJ14" s="334"/>
      <c r="BK14" s="334"/>
      <c r="BL14" s="334"/>
      <c r="BM14" s="334"/>
      <c r="BN14" s="334"/>
      <c r="BO14" s="334"/>
      <c r="BP14" s="334"/>
      <c r="BQ14" s="334"/>
      <c r="BR14" s="334"/>
      <c r="BS14" s="334"/>
      <c r="BT14" s="334"/>
      <c r="BU14" s="334"/>
      <c r="BV14" s="334"/>
      <c r="BW14" s="334"/>
      <c r="BX14" s="334"/>
      <c r="BY14" s="334"/>
      <c r="BZ14" s="334"/>
      <c r="CA14" s="334"/>
      <c r="CB14" s="334"/>
      <c r="CC14" s="334"/>
      <c r="CD14" s="334"/>
      <c r="CE14" s="334"/>
      <c r="CF14" s="334"/>
      <c r="CG14" s="334"/>
      <c r="CH14" s="334"/>
      <c r="CI14" s="334"/>
      <c r="CJ14" s="334"/>
      <c r="CK14" s="334"/>
      <c r="CL14" s="334"/>
      <c r="CM14" s="334"/>
      <c r="CN14" s="334"/>
      <c r="CO14" s="334"/>
      <c r="CP14" s="334"/>
      <c r="CQ14" s="334"/>
      <c r="CR14" s="334"/>
      <c r="CS14" s="334"/>
      <c r="CT14" s="334"/>
      <c r="CU14" s="334"/>
      <c r="CV14" s="334"/>
      <c r="CW14" s="334"/>
      <c r="CX14" s="334"/>
      <c r="CY14" s="334"/>
      <c r="CZ14" s="334"/>
      <c r="DA14" s="334"/>
      <c r="DB14" s="334"/>
      <c r="DC14" s="334"/>
      <c r="DD14" s="334"/>
      <c r="DE14" s="334"/>
      <c r="DF14" s="334"/>
      <c r="DG14" s="334"/>
      <c r="DH14" s="334"/>
      <c r="DI14" s="334"/>
      <c r="DJ14" s="334"/>
      <c r="DK14" s="334"/>
      <c r="DL14" s="334"/>
      <c r="DM14" s="334"/>
      <c r="DN14" s="334"/>
      <c r="DO14" s="334"/>
      <c r="DP14" s="334"/>
      <c r="DQ14" s="334"/>
      <c r="DR14" s="334"/>
      <c r="DS14" s="334"/>
      <c r="DT14" s="334"/>
      <c r="DU14" s="334"/>
      <c r="DV14" s="334"/>
      <c r="DW14" s="334"/>
      <c r="DX14" s="334"/>
      <c r="DY14" s="334"/>
      <c r="DZ14" s="334"/>
      <c r="EA14" s="334"/>
      <c r="EB14" s="334"/>
      <c r="EC14" s="334"/>
      <c r="ED14" s="334"/>
      <c r="EE14" s="334"/>
      <c r="EF14" s="334"/>
      <c r="EG14" s="334"/>
      <c r="EH14" s="334"/>
      <c r="EI14" s="334"/>
      <c r="EJ14" s="334"/>
      <c r="EK14" s="334"/>
      <c r="EL14" s="334"/>
      <c r="EM14" s="334"/>
      <c r="EN14" s="334"/>
      <c r="EO14" s="334"/>
      <c r="EP14" s="334"/>
      <c r="EQ14" s="334"/>
      <c r="ER14" s="334"/>
      <c r="ES14" s="334"/>
      <c r="ET14" s="334"/>
      <c r="EU14" s="334"/>
      <c r="EV14" s="334"/>
      <c r="EW14" s="334"/>
      <c r="EX14" s="334"/>
      <c r="EY14" s="334"/>
      <c r="EZ14" s="334"/>
      <c r="FA14" s="334"/>
      <c r="FB14" s="334"/>
      <c r="FC14" s="334"/>
      <c r="FD14" s="334"/>
      <c r="FE14" s="334"/>
      <c r="FF14" s="334"/>
      <c r="FG14" s="334"/>
      <c r="FH14" s="334"/>
      <c r="FI14" s="334"/>
      <c r="FJ14" s="334"/>
      <c r="FK14" s="334"/>
      <c r="FL14" s="334"/>
      <c r="FM14" s="334"/>
      <c r="FN14" s="334"/>
      <c r="FO14" s="334"/>
      <c r="FP14" s="334"/>
      <c r="FQ14" s="334"/>
      <c r="FR14" s="334"/>
      <c r="FS14" s="334"/>
      <c r="FT14" s="334"/>
      <c r="FU14" s="334"/>
      <c r="FV14" s="334"/>
      <c r="FW14" s="334"/>
    </row>
    <row r="15" spans="1:179" s="319" customFormat="1" ht="14.4" x14ac:dyDescent="0.3">
      <c r="A15" s="354" t="s">
        <v>121</v>
      </c>
      <c r="B15" s="115">
        <v>59</v>
      </c>
      <c r="C15" s="115">
        <v>62</v>
      </c>
      <c r="D15" s="115">
        <v>72</v>
      </c>
      <c r="E15" s="115">
        <v>74</v>
      </c>
      <c r="F15" s="115">
        <v>67</v>
      </c>
      <c r="G15" s="115">
        <v>54</v>
      </c>
      <c r="H15" s="116">
        <v>74</v>
      </c>
      <c r="I15" s="116">
        <v>46</v>
      </c>
      <c r="J15" s="115">
        <v>59</v>
      </c>
      <c r="K15" s="115">
        <v>55</v>
      </c>
      <c r="L15" s="115">
        <v>61</v>
      </c>
      <c r="M15" s="115">
        <v>59</v>
      </c>
      <c r="N15" s="116">
        <v>56</v>
      </c>
      <c r="O15" s="243">
        <v>63</v>
      </c>
      <c r="P15" s="243">
        <v>61</v>
      </c>
      <c r="Q15" s="284">
        <v>61</v>
      </c>
      <c r="R15" s="284">
        <v>74</v>
      </c>
      <c r="S15" s="314">
        <f>91+2</f>
        <v>93</v>
      </c>
      <c r="T15" s="284">
        <v>74</v>
      </c>
      <c r="U15" s="506">
        <v>91</v>
      </c>
      <c r="V15" s="514">
        <v>82</v>
      </c>
      <c r="W15" s="252">
        <v>133</v>
      </c>
      <c r="X15" s="116">
        <v>133</v>
      </c>
      <c r="Y15" s="116">
        <v>113</v>
      </c>
      <c r="Z15" s="115">
        <v>130</v>
      </c>
      <c r="AA15" s="115">
        <v>137</v>
      </c>
      <c r="AB15" s="115">
        <v>127</v>
      </c>
      <c r="AC15" s="115">
        <v>103</v>
      </c>
      <c r="AD15" s="115">
        <v>101</v>
      </c>
      <c r="AE15" s="115">
        <v>99</v>
      </c>
      <c r="AF15" s="78">
        <v>94</v>
      </c>
      <c r="AG15" s="216">
        <f t="shared" si="0"/>
        <v>-5.0505050505050504E-2</v>
      </c>
      <c r="AH15" s="216">
        <f t="shared" si="1"/>
        <v>-0.31386861313868614</v>
      </c>
      <c r="AI15" s="217">
        <f t="shared" si="2"/>
        <v>0.14634146341463414</v>
      </c>
      <c r="AJ15" s="119">
        <f t="shared" si="3"/>
        <v>98</v>
      </c>
      <c r="AK15" s="595">
        <f t="shared" si="4"/>
        <v>2</v>
      </c>
      <c r="AL15" s="326" t="str">
        <f t="shared" si="5"/>
        <v>No</v>
      </c>
      <c r="AM15" s="326" t="str">
        <f t="shared" si="6"/>
        <v>No</v>
      </c>
      <c r="AS15" s="334"/>
      <c r="AT15" s="334"/>
      <c r="AU15" s="334"/>
      <c r="AV15" s="334"/>
      <c r="AW15" s="334"/>
      <c r="AX15" s="334"/>
      <c r="AY15" s="334"/>
      <c r="AZ15" s="334"/>
      <c r="BA15" s="334"/>
      <c r="BB15" s="334"/>
      <c r="BC15" s="334"/>
      <c r="BD15" s="334"/>
      <c r="BE15" s="334"/>
      <c r="BF15" s="334"/>
      <c r="BG15" s="334"/>
      <c r="BH15" s="334"/>
      <c r="BI15" s="334"/>
      <c r="BJ15" s="334"/>
      <c r="BK15" s="334"/>
      <c r="BL15" s="334"/>
      <c r="BM15" s="334"/>
      <c r="BN15" s="334"/>
      <c r="BO15" s="334"/>
      <c r="BP15" s="334"/>
      <c r="BQ15" s="334"/>
      <c r="BR15" s="334"/>
      <c r="BS15" s="334"/>
      <c r="BT15" s="334"/>
      <c r="BU15" s="334"/>
      <c r="BV15" s="334"/>
      <c r="BW15" s="334"/>
      <c r="BX15" s="334"/>
      <c r="BY15" s="334"/>
      <c r="BZ15" s="334"/>
      <c r="CA15" s="334"/>
      <c r="CB15" s="334"/>
      <c r="CC15" s="334"/>
      <c r="CD15" s="334"/>
      <c r="CE15" s="334"/>
      <c r="CF15" s="334"/>
      <c r="CG15" s="334"/>
      <c r="CH15" s="334"/>
      <c r="CI15" s="334"/>
      <c r="CJ15" s="334"/>
      <c r="CK15" s="334"/>
      <c r="CL15" s="334"/>
      <c r="CM15" s="334"/>
      <c r="CN15" s="334"/>
      <c r="CO15" s="334"/>
      <c r="CP15" s="334"/>
      <c r="CQ15" s="334"/>
      <c r="CR15" s="334"/>
      <c r="CS15" s="334"/>
      <c r="CT15" s="334"/>
      <c r="CU15" s="334"/>
      <c r="CV15" s="334"/>
      <c r="CW15" s="334"/>
      <c r="CX15" s="334"/>
      <c r="CY15" s="334"/>
      <c r="CZ15" s="334"/>
      <c r="DA15" s="334"/>
      <c r="DB15" s="334"/>
      <c r="DC15" s="334"/>
      <c r="DD15" s="334"/>
      <c r="DE15" s="334"/>
      <c r="DF15" s="334"/>
      <c r="DG15" s="334"/>
      <c r="DH15" s="334"/>
      <c r="DI15" s="334"/>
      <c r="DJ15" s="334"/>
      <c r="DK15" s="334"/>
      <c r="DL15" s="334"/>
      <c r="DM15" s="334"/>
      <c r="DN15" s="334"/>
      <c r="DO15" s="334"/>
      <c r="DP15" s="334"/>
      <c r="DQ15" s="334"/>
      <c r="DR15" s="334"/>
      <c r="DS15" s="334"/>
      <c r="DT15" s="334"/>
      <c r="DU15" s="334"/>
      <c r="DV15" s="334"/>
      <c r="DW15" s="334"/>
      <c r="DX15" s="334"/>
      <c r="DY15" s="334"/>
      <c r="DZ15" s="334"/>
      <c r="EA15" s="334"/>
      <c r="EB15" s="334"/>
      <c r="EC15" s="334"/>
      <c r="ED15" s="334"/>
      <c r="EE15" s="334"/>
      <c r="EF15" s="334"/>
      <c r="EG15" s="334"/>
      <c r="EH15" s="334"/>
      <c r="EI15" s="334"/>
      <c r="EJ15" s="334"/>
      <c r="EK15" s="334"/>
      <c r="EL15" s="334"/>
      <c r="EM15" s="334"/>
      <c r="EN15" s="334"/>
      <c r="EO15" s="334"/>
      <c r="EP15" s="334"/>
      <c r="EQ15" s="334"/>
      <c r="ER15" s="334"/>
      <c r="ES15" s="334"/>
      <c r="ET15" s="334"/>
      <c r="EU15" s="334"/>
      <c r="EV15" s="334"/>
      <c r="EW15" s="334"/>
      <c r="EX15" s="334"/>
      <c r="EY15" s="334"/>
      <c r="EZ15" s="334"/>
      <c r="FA15" s="334"/>
      <c r="FB15" s="334"/>
      <c r="FC15" s="334"/>
      <c r="FD15" s="334"/>
      <c r="FE15" s="334"/>
      <c r="FF15" s="334"/>
      <c r="FG15" s="334"/>
      <c r="FH15" s="334"/>
      <c r="FI15" s="334"/>
      <c r="FJ15" s="334"/>
      <c r="FK15" s="334"/>
      <c r="FL15" s="334"/>
      <c r="FM15" s="334"/>
      <c r="FN15" s="334"/>
      <c r="FO15" s="334"/>
      <c r="FP15" s="334"/>
      <c r="FQ15" s="334"/>
      <c r="FR15" s="334"/>
      <c r="FS15" s="334"/>
      <c r="FT15" s="334"/>
      <c r="FU15" s="334"/>
      <c r="FV15" s="334"/>
      <c r="FW15" s="334"/>
    </row>
    <row r="16" spans="1:179" s="319" customFormat="1" ht="14.4" x14ac:dyDescent="0.3">
      <c r="A16" s="471" t="s">
        <v>1</v>
      </c>
      <c r="B16" s="96">
        <v>27</v>
      </c>
      <c r="C16" s="96">
        <v>18</v>
      </c>
      <c r="D16" s="96">
        <v>28</v>
      </c>
      <c r="E16" s="96">
        <v>21</v>
      </c>
      <c r="F16" s="96">
        <v>17</v>
      </c>
      <c r="G16" s="96">
        <v>23</v>
      </c>
      <c r="H16" s="89">
        <v>27</v>
      </c>
      <c r="I16" s="89">
        <v>31</v>
      </c>
      <c r="J16" s="96">
        <v>37</v>
      </c>
      <c r="K16" s="96">
        <v>41</v>
      </c>
      <c r="L16" s="96">
        <v>27</v>
      </c>
      <c r="M16" s="96">
        <v>32</v>
      </c>
      <c r="N16" s="89">
        <v>18</v>
      </c>
      <c r="O16" s="238">
        <v>21</v>
      </c>
      <c r="P16" s="238">
        <v>16</v>
      </c>
      <c r="Q16" s="286">
        <v>10</v>
      </c>
      <c r="R16" s="286">
        <v>17</v>
      </c>
      <c r="S16" s="310">
        <v>17</v>
      </c>
      <c r="T16" s="286">
        <v>12</v>
      </c>
      <c r="U16" s="501">
        <v>7</v>
      </c>
      <c r="V16" s="510">
        <v>11</v>
      </c>
      <c r="W16" s="253">
        <v>6</v>
      </c>
      <c r="X16" s="89">
        <v>9</v>
      </c>
      <c r="Y16" s="89">
        <v>13</v>
      </c>
      <c r="Z16" s="88">
        <v>7</v>
      </c>
      <c r="AA16" s="88">
        <v>2</v>
      </c>
      <c r="AB16" s="88">
        <v>6</v>
      </c>
      <c r="AC16" s="88">
        <v>5</v>
      </c>
      <c r="AD16" s="88">
        <v>4</v>
      </c>
      <c r="AE16" s="88">
        <v>2</v>
      </c>
      <c r="AF16" s="97">
        <v>3</v>
      </c>
      <c r="AG16" s="304" t="str">
        <f t="shared" si="0"/>
        <v xml:space="preserve"> </v>
      </c>
      <c r="AH16" s="305" t="str">
        <f t="shared" si="1"/>
        <v xml:space="preserve"> </v>
      </c>
      <c r="AI16" s="306" t="str">
        <f t="shared" si="2"/>
        <v xml:space="preserve"> </v>
      </c>
      <c r="AJ16" s="223">
        <f t="shared" si="3"/>
        <v>3</v>
      </c>
      <c r="AK16" s="320">
        <f t="shared" si="4"/>
        <v>47</v>
      </c>
      <c r="AL16" s="321" t="str">
        <f t="shared" si="5"/>
        <v>Yes</v>
      </c>
      <c r="AM16" s="321" t="str">
        <f t="shared" si="6"/>
        <v>Yes</v>
      </c>
      <c r="AS16" s="334"/>
      <c r="AT16" s="334"/>
      <c r="AU16" s="334"/>
      <c r="AV16" s="334"/>
      <c r="AW16" s="334"/>
      <c r="AX16" s="334"/>
      <c r="AY16" s="334"/>
      <c r="AZ16" s="334"/>
      <c r="BA16" s="334"/>
      <c r="BB16" s="334"/>
      <c r="BC16" s="334"/>
      <c r="BD16" s="334"/>
      <c r="BE16" s="334"/>
      <c r="BF16" s="334"/>
      <c r="BG16" s="334"/>
      <c r="BH16" s="334"/>
      <c r="BI16" s="334"/>
      <c r="BJ16" s="334"/>
      <c r="BK16" s="334"/>
      <c r="BL16" s="334"/>
      <c r="BM16" s="334"/>
      <c r="BN16" s="334"/>
      <c r="BO16" s="334"/>
      <c r="BP16" s="334"/>
      <c r="BQ16" s="334"/>
      <c r="BR16" s="334"/>
      <c r="BS16" s="334"/>
      <c r="BT16" s="334"/>
      <c r="BU16" s="334"/>
      <c r="BV16" s="334"/>
      <c r="BW16" s="334"/>
      <c r="BX16" s="334"/>
      <c r="BY16" s="334"/>
      <c r="BZ16" s="334"/>
      <c r="CA16" s="334"/>
      <c r="CB16" s="334"/>
      <c r="CC16" s="334"/>
      <c r="CD16" s="334"/>
      <c r="CE16" s="334"/>
      <c r="CF16" s="334"/>
      <c r="CG16" s="334"/>
      <c r="CH16" s="334"/>
      <c r="CI16" s="334"/>
      <c r="CJ16" s="334"/>
      <c r="CK16" s="334"/>
      <c r="CL16" s="334"/>
      <c r="CM16" s="334"/>
      <c r="CN16" s="334"/>
      <c r="CO16" s="334"/>
      <c r="CP16" s="334"/>
      <c r="CQ16" s="334"/>
      <c r="CR16" s="334"/>
      <c r="CS16" s="334"/>
      <c r="CT16" s="334"/>
      <c r="CU16" s="334"/>
      <c r="CV16" s="334"/>
      <c r="CW16" s="334"/>
      <c r="CX16" s="334"/>
      <c r="CY16" s="334"/>
      <c r="CZ16" s="334"/>
      <c r="DA16" s="334"/>
      <c r="DB16" s="334"/>
      <c r="DC16" s="334"/>
      <c r="DD16" s="334"/>
      <c r="DE16" s="334"/>
      <c r="DF16" s="334"/>
      <c r="DG16" s="334"/>
      <c r="DH16" s="334"/>
      <c r="DI16" s="334"/>
      <c r="DJ16" s="334"/>
      <c r="DK16" s="334"/>
      <c r="DL16" s="334"/>
      <c r="DM16" s="334"/>
      <c r="DN16" s="334"/>
      <c r="DO16" s="334"/>
      <c r="DP16" s="334"/>
      <c r="DQ16" s="334"/>
      <c r="DR16" s="334"/>
      <c r="DS16" s="334"/>
      <c r="DT16" s="334"/>
      <c r="DU16" s="334"/>
      <c r="DV16" s="334"/>
      <c r="DW16" s="334"/>
      <c r="DX16" s="334"/>
      <c r="DY16" s="334"/>
      <c r="DZ16" s="334"/>
      <c r="EA16" s="334"/>
      <c r="EB16" s="334"/>
      <c r="EC16" s="334"/>
      <c r="ED16" s="334"/>
      <c r="EE16" s="334"/>
      <c r="EF16" s="334"/>
      <c r="EG16" s="334"/>
      <c r="EH16" s="334"/>
      <c r="EI16" s="334"/>
      <c r="EJ16" s="334"/>
      <c r="EK16" s="334"/>
      <c r="EL16" s="334"/>
      <c r="EM16" s="334"/>
      <c r="EN16" s="334"/>
      <c r="EO16" s="334"/>
      <c r="EP16" s="334"/>
      <c r="EQ16" s="334"/>
      <c r="ER16" s="334"/>
      <c r="ES16" s="334"/>
      <c r="ET16" s="334"/>
      <c r="EU16" s="334"/>
      <c r="EV16" s="334"/>
      <c r="EW16" s="334"/>
      <c r="EX16" s="334"/>
      <c r="EY16" s="334"/>
      <c r="EZ16" s="334"/>
      <c r="FA16" s="334"/>
      <c r="FB16" s="334"/>
      <c r="FC16" s="334"/>
      <c r="FD16" s="334"/>
      <c r="FE16" s="334"/>
      <c r="FF16" s="334"/>
      <c r="FG16" s="334"/>
      <c r="FH16" s="334"/>
      <c r="FI16" s="334"/>
      <c r="FJ16" s="334"/>
      <c r="FK16" s="334"/>
      <c r="FL16" s="334"/>
      <c r="FM16" s="334"/>
      <c r="FN16" s="334"/>
      <c r="FO16" s="334"/>
      <c r="FP16" s="334"/>
      <c r="FQ16" s="334"/>
      <c r="FR16" s="334"/>
      <c r="FS16" s="334"/>
      <c r="FT16" s="334"/>
      <c r="FU16" s="334"/>
      <c r="FV16" s="334"/>
      <c r="FW16" s="334"/>
    </row>
    <row r="17" spans="1:179" s="319" customFormat="1" ht="13.2" x14ac:dyDescent="0.25">
      <c r="A17" s="357" t="s">
        <v>31</v>
      </c>
      <c r="B17" s="71">
        <v>1</v>
      </c>
      <c r="C17" s="71">
        <v>3</v>
      </c>
      <c r="D17" s="71">
        <v>3</v>
      </c>
      <c r="E17" s="71">
        <v>0</v>
      </c>
      <c r="F17" s="71">
        <v>3</v>
      </c>
      <c r="G17" s="71">
        <v>2</v>
      </c>
      <c r="H17" s="5">
        <v>2</v>
      </c>
      <c r="I17" s="5">
        <v>2</v>
      </c>
      <c r="J17" s="71">
        <v>11</v>
      </c>
      <c r="K17" s="71">
        <v>15</v>
      </c>
      <c r="L17" s="71">
        <v>17</v>
      </c>
      <c r="M17" s="71">
        <v>25</v>
      </c>
      <c r="N17" s="5">
        <v>34</v>
      </c>
      <c r="O17" s="239">
        <v>40</v>
      </c>
      <c r="P17" s="239">
        <v>44</v>
      </c>
      <c r="Q17" s="280">
        <v>44</v>
      </c>
      <c r="R17" s="280">
        <v>56</v>
      </c>
      <c r="S17" s="311">
        <f>40+1</f>
        <v>41</v>
      </c>
      <c r="T17" s="280">
        <v>54</v>
      </c>
      <c r="U17" s="502">
        <v>39</v>
      </c>
      <c r="V17" s="511">
        <v>53</v>
      </c>
      <c r="W17" s="249">
        <v>43</v>
      </c>
      <c r="X17" s="5">
        <v>47</v>
      </c>
      <c r="Y17" s="5">
        <v>44</v>
      </c>
      <c r="Z17" s="72">
        <v>43</v>
      </c>
      <c r="AA17" s="72">
        <v>45</v>
      </c>
      <c r="AB17" s="72">
        <v>43</v>
      </c>
      <c r="AC17" s="72">
        <v>36</v>
      </c>
      <c r="AD17" s="72">
        <v>28</v>
      </c>
      <c r="AE17" s="72">
        <v>30</v>
      </c>
      <c r="AF17" s="73">
        <v>33</v>
      </c>
      <c r="AG17" s="205">
        <f t="shared" si="0"/>
        <v>0.1</v>
      </c>
      <c r="AH17" s="206">
        <f t="shared" si="1"/>
        <v>-0.26666666666666666</v>
      </c>
      <c r="AI17" s="207">
        <f t="shared" si="2"/>
        <v>-0.37735849056603776</v>
      </c>
      <c r="AJ17" s="120">
        <f t="shared" si="3"/>
        <v>30.333333333333332</v>
      </c>
      <c r="AK17" s="331">
        <f t="shared" si="4"/>
        <v>15</v>
      </c>
      <c r="AL17" s="326" t="str">
        <f t="shared" si="5"/>
        <v>No</v>
      </c>
      <c r="AM17" s="326" t="str">
        <f t="shared" si="6"/>
        <v>No</v>
      </c>
      <c r="AS17" s="334"/>
      <c r="AT17" s="334"/>
      <c r="AU17" s="334"/>
      <c r="AV17" s="334"/>
      <c r="AW17" s="334"/>
      <c r="AX17" s="334"/>
      <c r="AY17" s="334"/>
      <c r="AZ17" s="334"/>
      <c r="BA17" s="334"/>
      <c r="BB17" s="334"/>
      <c r="BC17" s="334"/>
      <c r="BD17" s="334"/>
      <c r="BE17" s="334"/>
      <c r="BF17" s="334"/>
      <c r="BG17" s="334"/>
      <c r="BH17" s="334"/>
      <c r="BI17" s="334"/>
      <c r="BJ17" s="334"/>
      <c r="BK17" s="334"/>
      <c r="BL17" s="334"/>
      <c r="BM17" s="334"/>
      <c r="BN17" s="334"/>
      <c r="BO17" s="334"/>
      <c r="BP17" s="334"/>
      <c r="BQ17" s="334"/>
      <c r="BR17" s="334"/>
      <c r="BS17" s="334"/>
      <c r="BT17" s="334"/>
      <c r="BU17" s="334"/>
      <c r="BV17" s="334"/>
      <c r="BW17" s="334"/>
      <c r="BX17" s="334"/>
      <c r="BY17" s="334"/>
      <c r="BZ17" s="334"/>
      <c r="CA17" s="334"/>
      <c r="CB17" s="334"/>
      <c r="CC17" s="334"/>
      <c r="CD17" s="334"/>
      <c r="CE17" s="334"/>
      <c r="CF17" s="334"/>
      <c r="CG17" s="334"/>
      <c r="CH17" s="334"/>
      <c r="CI17" s="334"/>
      <c r="CJ17" s="334"/>
      <c r="CK17" s="334"/>
      <c r="CL17" s="334"/>
      <c r="CM17" s="334"/>
      <c r="CN17" s="334"/>
      <c r="CO17" s="334"/>
      <c r="CP17" s="334"/>
      <c r="CQ17" s="334"/>
      <c r="CR17" s="334"/>
      <c r="CS17" s="334"/>
      <c r="CT17" s="334"/>
      <c r="CU17" s="334"/>
      <c r="CV17" s="334"/>
      <c r="CW17" s="334"/>
      <c r="CX17" s="334"/>
      <c r="CY17" s="334"/>
      <c r="CZ17" s="334"/>
      <c r="DA17" s="334"/>
      <c r="DB17" s="334"/>
      <c r="DC17" s="334"/>
      <c r="DD17" s="334"/>
      <c r="DE17" s="334"/>
      <c r="DF17" s="334"/>
      <c r="DG17" s="334"/>
      <c r="DH17" s="334"/>
      <c r="DI17" s="334"/>
      <c r="DJ17" s="334"/>
      <c r="DK17" s="334"/>
      <c r="DL17" s="334"/>
      <c r="DM17" s="334"/>
      <c r="DN17" s="334"/>
      <c r="DO17" s="334"/>
      <c r="DP17" s="334"/>
      <c r="DQ17" s="334"/>
      <c r="DR17" s="334"/>
      <c r="DS17" s="334"/>
      <c r="DT17" s="334"/>
      <c r="DU17" s="334"/>
      <c r="DV17" s="334"/>
      <c r="DW17" s="334"/>
      <c r="DX17" s="334"/>
      <c r="DY17" s="334"/>
      <c r="DZ17" s="334"/>
      <c r="EA17" s="334"/>
      <c r="EB17" s="334"/>
      <c r="EC17" s="334"/>
      <c r="ED17" s="334"/>
      <c r="EE17" s="334"/>
      <c r="EF17" s="334"/>
      <c r="EG17" s="334"/>
      <c r="EH17" s="334"/>
      <c r="EI17" s="334"/>
      <c r="EJ17" s="334"/>
      <c r="EK17" s="334"/>
      <c r="EL17" s="334"/>
      <c r="EM17" s="334"/>
      <c r="EN17" s="334"/>
      <c r="EO17" s="334"/>
      <c r="EP17" s="334"/>
      <c r="EQ17" s="334"/>
      <c r="ER17" s="334"/>
      <c r="ES17" s="334"/>
      <c r="ET17" s="334"/>
      <c r="EU17" s="334"/>
      <c r="EV17" s="334"/>
      <c r="EW17" s="334"/>
      <c r="EX17" s="334"/>
      <c r="EY17" s="334"/>
      <c r="EZ17" s="334"/>
      <c r="FA17" s="334"/>
      <c r="FB17" s="334"/>
      <c r="FC17" s="334"/>
      <c r="FD17" s="334"/>
      <c r="FE17" s="334"/>
      <c r="FF17" s="334"/>
      <c r="FG17" s="334"/>
      <c r="FH17" s="334"/>
      <c r="FI17" s="334"/>
      <c r="FJ17" s="334"/>
      <c r="FK17" s="334"/>
      <c r="FL17" s="334"/>
      <c r="FM17" s="334"/>
      <c r="FN17" s="334"/>
      <c r="FO17" s="334"/>
      <c r="FP17" s="334"/>
      <c r="FQ17" s="334"/>
      <c r="FR17" s="334"/>
      <c r="FS17" s="334"/>
      <c r="FT17" s="334"/>
      <c r="FU17" s="334"/>
      <c r="FV17" s="334"/>
      <c r="FW17" s="334"/>
    </row>
    <row r="18" spans="1:179" s="319" customFormat="1" ht="14.4" x14ac:dyDescent="0.3">
      <c r="A18" s="357" t="s">
        <v>100</v>
      </c>
      <c r="B18" s="71">
        <v>77</v>
      </c>
      <c r="C18" s="71">
        <v>97</v>
      </c>
      <c r="D18" s="71">
        <v>92</v>
      </c>
      <c r="E18" s="71">
        <v>95</v>
      </c>
      <c r="F18" s="71">
        <v>115</v>
      </c>
      <c r="G18" s="71">
        <v>94</v>
      </c>
      <c r="H18" s="5">
        <v>122</v>
      </c>
      <c r="I18" s="5">
        <v>129</v>
      </c>
      <c r="J18" s="71">
        <v>143</v>
      </c>
      <c r="K18" s="71">
        <v>135</v>
      </c>
      <c r="L18" s="71">
        <v>131</v>
      </c>
      <c r="M18" s="71">
        <v>142</v>
      </c>
      <c r="N18" s="5">
        <v>133</v>
      </c>
      <c r="O18" s="239">
        <v>155</v>
      </c>
      <c r="P18" s="239">
        <v>159</v>
      </c>
      <c r="Q18" s="280">
        <v>176</v>
      </c>
      <c r="R18" s="280">
        <v>138</v>
      </c>
      <c r="S18" s="311">
        <f>178+1</f>
        <v>179</v>
      </c>
      <c r="T18" s="280">
        <v>194</v>
      </c>
      <c r="U18" s="502">
        <f>182+3</f>
        <v>185</v>
      </c>
      <c r="V18" s="511">
        <v>162</v>
      </c>
      <c r="W18" s="249">
        <f>172+1</f>
        <v>173</v>
      </c>
      <c r="X18" s="5">
        <v>159</v>
      </c>
      <c r="Y18" s="5">
        <v>145</v>
      </c>
      <c r="Z18" s="72">
        <v>138</v>
      </c>
      <c r="AA18" s="72">
        <v>174</v>
      </c>
      <c r="AB18" s="72">
        <v>157</v>
      </c>
      <c r="AC18" s="72">
        <v>156</v>
      </c>
      <c r="AD18" s="72">
        <v>125</v>
      </c>
      <c r="AE18" s="72">
        <v>111</v>
      </c>
      <c r="AF18" s="73">
        <f>118+4</f>
        <v>122</v>
      </c>
      <c r="AG18" s="205">
        <f t="shared" si="0"/>
        <v>9.90990990990991E-2</v>
      </c>
      <c r="AH18" s="206">
        <f t="shared" si="1"/>
        <v>-0.2988505747126437</v>
      </c>
      <c r="AI18" s="207">
        <f t="shared" si="2"/>
        <v>-0.24691358024691357</v>
      </c>
      <c r="AJ18" s="120">
        <f t="shared" si="3"/>
        <v>119.33333333333333</v>
      </c>
      <c r="AK18" s="595">
        <f t="shared" si="4"/>
        <v>1</v>
      </c>
      <c r="AL18" s="326" t="str">
        <f t="shared" si="5"/>
        <v>No</v>
      </c>
      <c r="AM18" s="326" t="str">
        <f t="shared" si="6"/>
        <v>No</v>
      </c>
      <c r="AS18" s="334"/>
      <c r="AT18" s="334"/>
      <c r="AU18" s="334"/>
      <c r="AV18" s="334"/>
      <c r="AW18" s="334"/>
      <c r="AX18" s="334"/>
      <c r="AY18" s="334"/>
      <c r="AZ18" s="334"/>
      <c r="BA18" s="334"/>
      <c r="BB18" s="334"/>
      <c r="BC18" s="334"/>
      <c r="BD18" s="334"/>
      <c r="BE18" s="334"/>
      <c r="BF18" s="334"/>
      <c r="BG18" s="334"/>
      <c r="BH18" s="334"/>
      <c r="BI18" s="334"/>
      <c r="BJ18" s="334"/>
      <c r="BK18" s="334"/>
      <c r="BL18" s="334"/>
      <c r="BM18" s="334"/>
      <c r="BN18" s="334"/>
      <c r="BO18" s="334"/>
      <c r="BP18" s="334"/>
      <c r="BQ18" s="334"/>
      <c r="BR18" s="334"/>
      <c r="BS18" s="334"/>
      <c r="BT18" s="334"/>
      <c r="BU18" s="334"/>
      <c r="BV18" s="334"/>
      <c r="BW18" s="334"/>
      <c r="BX18" s="334"/>
      <c r="BY18" s="334"/>
      <c r="BZ18" s="334"/>
      <c r="CA18" s="334"/>
      <c r="CB18" s="334"/>
      <c r="CC18" s="334"/>
      <c r="CD18" s="334"/>
      <c r="CE18" s="334"/>
      <c r="CF18" s="334"/>
      <c r="CG18" s="334"/>
      <c r="CH18" s="334"/>
      <c r="CI18" s="334"/>
      <c r="CJ18" s="334"/>
      <c r="CK18" s="334"/>
      <c r="CL18" s="334"/>
      <c r="CM18" s="334"/>
      <c r="CN18" s="334"/>
      <c r="CO18" s="334"/>
      <c r="CP18" s="334"/>
      <c r="CQ18" s="334"/>
      <c r="CR18" s="334"/>
      <c r="CS18" s="334"/>
      <c r="CT18" s="334"/>
      <c r="CU18" s="334"/>
      <c r="CV18" s="334"/>
      <c r="CW18" s="334"/>
      <c r="CX18" s="334"/>
      <c r="CY18" s="334"/>
      <c r="CZ18" s="334"/>
      <c r="DA18" s="334"/>
      <c r="DB18" s="334"/>
      <c r="DC18" s="334"/>
      <c r="DD18" s="334"/>
      <c r="DE18" s="334"/>
      <c r="DF18" s="334"/>
      <c r="DG18" s="334"/>
      <c r="DH18" s="334"/>
      <c r="DI18" s="334"/>
      <c r="DJ18" s="334"/>
      <c r="DK18" s="334"/>
      <c r="DL18" s="334"/>
      <c r="DM18" s="334"/>
      <c r="DN18" s="334"/>
      <c r="DO18" s="334"/>
      <c r="DP18" s="334"/>
      <c r="DQ18" s="334"/>
      <c r="DR18" s="334"/>
      <c r="DS18" s="334"/>
      <c r="DT18" s="334"/>
      <c r="DU18" s="334"/>
      <c r="DV18" s="334"/>
      <c r="DW18" s="334"/>
      <c r="DX18" s="334"/>
      <c r="DY18" s="334"/>
      <c r="DZ18" s="334"/>
      <c r="EA18" s="334"/>
      <c r="EB18" s="334"/>
      <c r="EC18" s="334"/>
      <c r="ED18" s="334"/>
      <c r="EE18" s="334"/>
      <c r="EF18" s="334"/>
      <c r="EG18" s="334"/>
      <c r="EH18" s="334"/>
      <c r="EI18" s="334"/>
      <c r="EJ18" s="334"/>
      <c r="EK18" s="334"/>
      <c r="EL18" s="334"/>
      <c r="EM18" s="334"/>
      <c r="EN18" s="334"/>
      <c r="EO18" s="334"/>
      <c r="EP18" s="334"/>
      <c r="EQ18" s="334"/>
      <c r="ER18" s="334"/>
      <c r="ES18" s="334"/>
      <c r="ET18" s="334"/>
      <c r="EU18" s="334"/>
      <c r="EV18" s="334"/>
      <c r="EW18" s="334"/>
      <c r="EX18" s="334"/>
      <c r="EY18" s="334"/>
      <c r="EZ18" s="334"/>
      <c r="FA18" s="334"/>
      <c r="FB18" s="334"/>
      <c r="FC18" s="334"/>
      <c r="FD18" s="334"/>
      <c r="FE18" s="334"/>
      <c r="FF18" s="334"/>
      <c r="FG18" s="334"/>
      <c r="FH18" s="334"/>
      <c r="FI18" s="334"/>
      <c r="FJ18" s="334"/>
      <c r="FK18" s="334"/>
      <c r="FL18" s="334"/>
      <c r="FM18" s="334"/>
      <c r="FN18" s="334"/>
      <c r="FO18" s="334"/>
      <c r="FP18" s="334"/>
      <c r="FQ18" s="334"/>
      <c r="FR18" s="334"/>
      <c r="FS18" s="334"/>
      <c r="FT18" s="334"/>
      <c r="FU18" s="334"/>
      <c r="FV18" s="334"/>
      <c r="FW18" s="334"/>
    </row>
    <row r="19" spans="1:179" s="319" customFormat="1" ht="13.2" x14ac:dyDescent="0.25">
      <c r="A19" s="357" t="s">
        <v>5</v>
      </c>
      <c r="B19" s="71"/>
      <c r="C19" s="71"/>
      <c r="D19" s="71"/>
      <c r="E19" s="71"/>
      <c r="F19" s="71"/>
      <c r="G19" s="71"/>
      <c r="H19" s="5"/>
      <c r="I19" s="5">
        <v>4</v>
      </c>
      <c r="J19" s="71">
        <v>3</v>
      </c>
      <c r="K19" s="71">
        <v>11</v>
      </c>
      <c r="L19" s="71">
        <v>15</v>
      </c>
      <c r="M19" s="71">
        <v>12</v>
      </c>
      <c r="N19" s="5">
        <v>14</v>
      </c>
      <c r="O19" s="239">
        <v>14</v>
      </c>
      <c r="P19" s="239">
        <v>19</v>
      </c>
      <c r="Q19" s="280">
        <v>18</v>
      </c>
      <c r="R19" s="280">
        <v>26</v>
      </c>
      <c r="S19" s="311">
        <f>33+1</f>
        <v>34</v>
      </c>
      <c r="T19" s="280">
        <v>44</v>
      </c>
      <c r="U19" s="502">
        <f>40+1+3</f>
        <v>44</v>
      </c>
      <c r="V19" s="511">
        <v>41</v>
      </c>
      <c r="W19" s="249">
        <v>32</v>
      </c>
      <c r="X19" s="5">
        <v>36</v>
      </c>
      <c r="Y19" s="5">
        <v>33</v>
      </c>
      <c r="Z19" s="72">
        <v>23</v>
      </c>
      <c r="AA19" s="72">
        <v>33</v>
      </c>
      <c r="AB19" s="72">
        <v>27</v>
      </c>
      <c r="AC19" s="72">
        <v>26</v>
      </c>
      <c r="AD19" s="72">
        <v>14</v>
      </c>
      <c r="AE19" s="72">
        <v>20</v>
      </c>
      <c r="AF19" s="73">
        <v>15</v>
      </c>
      <c r="AG19" s="205" t="str">
        <f t="shared" si="0"/>
        <v xml:space="preserve"> </v>
      </c>
      <c r="AH19" s="206" t="str">
        <f t="shared" si="1"/>
        <v xml:space="preserve"> </v>
      </c>
      <c r="AI19" s="207" t="str">
        <f t="shared" si="2"/>
        <v xml:space="preserve"> </v>
      </c>
      <c r="AJ19" s="120">
        <f t="shared" si="3"/>
        <v>16.333333333333332</v>
      </c>
      <c r="AK19" s="331">
        <f t="shared" si="4"/>
        <v>26</v>
      </c>
      <c r="AL19" s="326" t="str">
        <f t="shared" si="5"/>
        <v>No</v>
      </c>
      <c r="AM19" s="326" t="str">
        <f t="shared" si="6"/>
        <v>No</v>
      </c>
      <c r="AS19" s="334"/>
      <c r="AT19" s="334"/>
      <c r="AU19" s="334"/>
      <c r="AV19" s="334"/>
      <c r="AW19" s="334"/>
      <c r="AX19" s="334"/>
      <c r="AY19" s="334"/>
      <c r="AZ19" s="334"/>
      <c r="BA19" s="334"/>
      <c r="BB19" s="334"/>
      <c r="BC19" s="334"/>
      <c r="BD19" s="334"/>
      <c r="BE19" s="334"/>
      <c r="BF19" s="334"/>
      <c r="BG19" s="334"/>
      <c r="BH19" s="334"/>
      <c r="BI19" s="334"/>
      <c r="BJ19" s="334"/>
      <c r="BK19" s="334"/>
      <c r="BL19" s="334"/>
      <c r="BM19" s="334"/>
      <c r="BN19" s="334"/>
      <c r="BO19" s="334"/>
      <c r="BP19" s="334"/>
      <c r="BQ19" s="334"/>
      <c r="BR19" s="334"/>
      <c r="BS19" s="334"/>
      <c r="BT19" s="334"/>
      <c r="BU19" s="334"/>
      <c r="BV19" s="334"/>
      <c r="BW19" s="334"/>
      <c r="BX19" s="334"/>
      <c r="BY19" s="334"/>
      <c r="BZ19" s="334"/>
      <c r="CA19" s="334"/>
      <c r="CB19" s="334"/>
      <c r="CC19" s="334"/>
      <c r="CD19" s="334"/>
      <c r="CE19" s="334"/>
      <c r="CF19" s="334"/>
      <c r="CG19" s="334"/>
      <c r="CH19" s="334"/>
      <c r="CI19" s="334"/>
      <c r="CJ19" s="334"/>
      <c r="CK19" s="334"/>
      <c r="CL19" s="334"/>
      <c r="CM19" s="334"/>
      <c r="CN19" s="334"/>
      <c r="CO19" s="334"/>
      <c r="CP19" s="334"/>
      <c r="CQ19" s="334"/>
      <c r="CR19" s="334"/>
      <c r="CS19" s="334"/>
      <c r="CT19" s="334"/>
      <c r="CU19" s="334"/>
      <c r="CV19" s="334"/>
      <c r="CW19" s="334"/>
      <c r="CX19" s="334"/>
      <c r="CY19" s="334"/>
      <c r="CZ19" s="334"/>
      <c r="DA19" s="334"/>
      <c r="DB19" s="334"/>
      <c r="DC19" s="334"/>
      <c r="DD19" s="334"/>
      <c r="DE19" s="334"/>
      <c r="DF19" s="334"/>
      <c r="DG19" s="334"/>
      <c r="DH19" s="334"/>
      <c r="DI19" s="334"/>
      <c r="DJ19" s="334"/>
      <c r="DK19" s="334"/>
      <c r="DL19" s="334"/>
      <c r="DM19" s="334"/>
      <c r="DN19" s="334"/>
      <c r="DO19" s="334"/>
      <c r="DP19" s="334"/>
      <c r="DQ19" s="334"/>
      <c r="DR19" s="334"/>
      <c r="DS19" s="334"/>
      <c r="DT19" s="334"/>
      <c r="DU19" s="334"/>
      <c r="DV19" s="334"/>
      <c r="DW19" s="334"/>
      <c r="DX19" s="334"/>
      <c r="DY19" s="334"/>
      <c r="DZ19" s="334"/>
      <c r="EA19" s="334"/>
      <c r="EB19" s="334"/>
      <c r="EC19" s="334"/>
      <c r="ED19" s="334"/>
      <c r="EE19" s="334"/>
      <c r="EF19" s="334"/>
      <c r="EG19" s="334"/>
      <c r="EH19" s="334"/>
      <c r="EI19" s="334"/>
      <c r="EJ19" s="334"/>
      <c r="EK19" s="334"/>
      <c r="EL19" s="334"/>
      <c r="EM19" s="334"/>
      <c r="EN19" s="334"/>
      <c r="EO19" s="334"/>
      <c r="EP19" s="334"/>
      <c r="EQ19" s="334"/>
      <c r="ER19" s="334"/>
      <c r="ES19" s="334"/>
      <c r="ET19" s="334"/>
      <c r="EU19" s="334"/>
      <c r="EV19" s="334"/>
      <c r="EW19" s="334"/>
      <c r="EX19" s="334"/>
      <c r="EY19" s="334"/>
      <c r="EZ19" s="334"/>
      <c r="FA19" s="334"/>
      <c r="FB19" s="334"/>
      <c r="FC19" s="334"/>
      <c r="FD19" s="334"/>
      <c r="FE19" s="334"/>
      <c r="FF19" s="334"/>
      <c r="FG19" s="334"/>
      <c r="FH19" s="334"/>
      <c r="FI19" s="334"/>
      <c r="FJ19" s="334"/>
      <c r="FK19" s="334"/>
      <c r="FL19" s="334"/>
      <c r="FM19" s="334"/>
      <c r="FN19" s="334"/>
      <c r="FO19" s="334"/>
      <c r="FP19" s="334"/>
      <c r="FQ19" s="334"/>
      <c r="FR19" s="334"/>
      <c r="FS19" s="334"/>
      <c r="FT19" s="334"/>
      <c r="FU19" s="334"/>
      <c r="FV19" s="334"/>
      <c r="FW19" s="334"/>
    </row>
    <row r="20" spans="1:179" s="319" customFormat="1" ht="13.2" x14ac:dyDescent="0.25">
      <c r="A20" s="359" t="s">
        <v>9</v>
      </c>
      <c r="B20" s="74">
        <v>35</v>
      </c>
      <c r="C20" s="74">
        <v>42</v>
      </c>
      <c r="D20" s="74">
        <v>31</v>
      </c>
      <c r="E20" s="74">
        <v>33</v>
      </c>
      <c r="F20" s="74">
        <v>31</v>
      </c>
      <c r="G20" s="74">
        <v>33</v>
      </c>
      <c r="H20" s="7">
        <v>42</v>
      </c>
      <c r="I20" s="7">
        <v>31</v>
      </c>
      <c r="J20" s="74">
        <v>38</v>
      </c>
      <c r="K20" s="74">
        <v>46</v>
      </c>
      <c r="L20" s="74">
        <v>45</v>
      </c>
      <c r="M20" s="74">
        <v>38</v>
      </c>
      <c r="N20" s="7">
        <v>45</v>
      </c>
      <c r="O20" s="240">
        <v>53</v>
      </c>
      <c r="P20" s="240">
        <v>46</v>
      </c>
      <c r="Q20" s="281">
        <v>64</v>
      </c>
      <c r="R20" s="281">
        <v>48</v>
      </c>
      <c r="S20" s="312">
        <f>60+2</f>
        <v>62</v>
      </c>
      <c r="T20" s="281">
        <v>54</v>
      </c>
      <c r="U20" s="503">
        <f>43+3</f>
        <v>46</v>
      </c>
      <c r="V20" s="512">
        <v>52</v>
      </c>
      <c r="W20" s="250">
        <f>50+4</f>
        <v>54</v>
      </c>
      <c r="X20" s="7">
        <v>50</v>
      </c>
      <c r="Y20" s="7">
        <v>44</v>
      </c>
      <c r="Z20" s="75">
        <v>37</v>
      </c>
      <c r="AA20" s="75">
        <v>56</v>
      </c>
      <c r="AB20" s="75">
        <v>44</v>
      </c>
      <c r="AC20" s="75">
        <v>31</v>
      </c>
      <c r="AD20" s="75">
        <v>43</v>
      </c>
      <c r="AE20" s="75">
        <v>27</v>
      </c>
      <c r="AF20" s="76">
        <f>15+3</f>
        <v>18</v>
      </c>
      <c r="AG20" s="208">
        <f t="shared" si="0"/>
        <v>-0.33333333333333331</v>
      </c>
      <c r="AH20" s="209">
        <f t="shared" si="1"/>
        <v>-0.6785714285714286</v>
      </c>
      <c r="AI20" s="210">
        <f t="shared" si="2"/>
        <v>-0.65384615384615385</v>
      </c>
      <c r="AJ20" s="222">
        <f t="shared" si="3"/>
        <v>29.333333333333332</v>
      </c>
      <c r="AK20" s="331">
        <f t="shared" si="4"/>
        <v>23</v>
      </c>
      <c r="AL20" s="326" t="str">
        <f t="shared" si="5"/>
        <v>No</v>
      </c>
      <c r="AM20" s="326" t="str">
        <f t="shared" si="6"/>
        <v>No</v>
      </c>
      <c r="AS20" s="334"/>
      <c r="AT20" s="334"/>
      <c r="AU20" s="334"/>
      <c r="AV20" s="334"/>
      <c r="AW20" s="334"/>
      <c r="AX20" s="334"/>
      <c r="AY20" s="334"/>
      <c r="AZ20" s="334"/>
      <c r="BA20" s="334"/>
      <c r="BB20" s="334"/>
      <c r="BC20" s="334"/>
      <c r="BD20" s="334"/>
      <c r="BE20" s="334"/>
      <c r="BF20" s="334"/>
      <c r="BG20" s="334"/>
      <c r="BH20" s="334"/>
      <c r="BI20" s="334"/>
      <c r="BJ20" s="334"/>
      <c r="BK20" s="334"/>
      <c r="BL20" s="334"/>
      <c r="BM20" s="334"/>
      <c r="BN20" s="334"/>
      <c r="BO20" s="334"/>
      <c r="BP20" s="334"/>
      <c r="BQ20" s="334"/>
      <c r="BR20" s="334"/>
      <c r="BS20" s="334"/>
      <c r="BT20" s="334"/>
      <c r="BU20" s="334"/>
      <c r="BV20" s="334"/>
      <c r="BW20" s="334"/>
      <c r="BX20" s="334"/>
      <c r="BY20" s="334"/>
      <c r="BZ20" s="334"/>
      <c r="CA20" s="334"/>
      <c r="CB20" s="334"/>
      <c r="CC20" s="334"/>
      <c r="CD20" s="334"/>
      <c r="CE20" s="334"/>
      <c r="CF20" s="334"/>
      <c r="CG20" s="334"/>
      <c r="CH20" s="334"/>
      <c r="CI20" s="334"/>
      <c r="CJ20" s="334"/>
      <c r="CK20" s="334"/>
      <c r="CL20" s="334"/>
      <c r="CM20" s="334"/>
      <c r="CN20" s="334"/>
      <c r="CO20" s="334"/>
      <c r="CP20" s="334"/>
      <c r="CQ20" s="334"/>
      <c r="CR20" s="334"/>
      <c r="CS20" s="334"/>
      <c r="CT20" s="334"/>
      <c r="CU20" s="334"/>
      <c r="CV20" s="334"/>
      <c r="CW20" s="334"/>
      <c r="CX20" s="334"/>
      <c r="CY20" s="334"/>
      <c r="CZ20" s="334"/>
      <c r="DA20" s="334"/>
      <c r="DB20" s="334"/>
      <c r="DC20" s="334"/>
      <c r="DD20" s="334"/>
      <c r="DE20" s="334"/>
      <c r="DF20" s="334"/>
      <c r="DG20" s="334"/>
      <c r="DH20" s="334"/>
      <c r="DI20" s="334"/>
      <c r="DJ20" s="334"/>
      <c r="DK20" s="334"/>
      <c r="DL20" s="334"/>
      <c r="DM20" s="334"/>
      <c r="DN20" s="334"/>
      <c r="DO20" s="334"/>
      <c r="DP20" s="334"/>
      <c r="DQ20" s="334"/>
      <c r="DR20" s="334"/>
      <c r="DS20" s="334"/>
      <c r="DT20" s="334"/>
      <c r="DU20" s="334"/>
      <c r="DV20" s="334"/>
      <c r="DW20" s="334"/>
      <c r="DX20" s="334"/>
      <c r="DY20" s="334"/>
      <c r="DZ20" s="334"/>
      <c r="EA20" s="334"/>
      <c r="EB20" s="334"/>
      <c r="EC20" s="334"/>
      <c r="ED20" s="334"/>
      <c r="EE20" s="334"/>
      <c r="EF20" s="334"/>
      <c r="EG20" s="334"/>
      <c r="EH20" s="334"/>
      <c r="EI20" s="334"/>
      <c r="EJ20" s="334"/>
      <c r="EK20" s="334"/>
      <c r="EL20" s="334"/>
      <c r="EM20" s="334"/>
      <c r="EN20" s="334"/>
      <c r="EO20" s="334"/>
      <c r="EP20" s="334"/>
      <c r="EQ20" s="334"/>
      <c r="ER20" s="334"/>
      <c r="ES20" s="334"/>
      <c r="ET20" s="334"/>
      <c r="EU20" s="334"/>
      <c r="EV20" s="334"/>
      <c r="EW20" s="334"/>
      <c r="EX20" s="334"/>
      <c r="EY20" s="334"/>
      <c r="EZ20" s="334"/>
      <c r="FA20" s="334"/>
      <c r="FB20" s="334"/>
      <c r="FC20" s="334"/>
      <c r="FD20" s="334"/>
      <c r="FE20" s="334"/>
      <c r="FF20" s="334"/>
      <c r="FG20" s="334"/>
      <c r="FH20" s="334"/>
      <c r="FI20" s="334"/>
      <c r="FJ20" s="334"/>
      <c r="FK20" s="334"/>
      <c r="FL20" s="334"/>
      <c r="FM20" s="334"/>
      <c r="FN20" s="334"/>
      <c r="FO20" s="334"/>
      <c r="FP20" s="334"/>
      <c r="FQ20" s="334"/>
      <c r="FR20" s="334"/>
      <c r="FS20" s="334"/>
      <c r="FT20" s="334"/>
      <c r="FU20" s="334"/>
      <c r="FV20" s="334"/>
      <c r="FW20" s="334"/>
    </row>
    <row r="21" spans="1:179" s="319" customFormat="1" ht="14.4" x14ac:dyDescent="0.3">
      <c r="A21" s="358" t="s">
        <v>45</v>
      </c>
      <c r="B21" s="98"/>
      <c r="C21" s="98"/>
      <c r="D21" s="98"/>
      <c r="E21" s="98"/>
      <c r="F21" s="98"/>
      <c r="G21" s="98"/>
      <c r="H21" s="99"/>
      <c r="I21" s="99"/>
      <c r="J21" s="98"/>
      <c r="K21" s="98"/>
      <c r="L21" s="98"/>
      <c r="M21" s="98"/>
      <c r="N21" s="99"/>
      <c r="O21" s="245">
        <v>1</v>
      </c>
      <c r="P21" s="245">
        <v>2</v>
      </c>
      <c r="Q21" s="287">
        <v>2</v>
      </c>
      <c r="R21" s="287">
        <v>0</v>
      </c>
      <c r="S21" s="315">
        <v>1</v>
      </c>
      <c r="T21" s="287">
        <v>2</v>
      </c>
      <c r="U21" s="508">
        <v>2</v>
      </c>
      <c r="V21" s="515">
        <v>2</v>
      </c>
      <c r="W21" s="254">
        <v>4</v>
      </c>
      <c r="X21" s="99">
        <v>3</v>
      </c>
      <c r="Y21" s="99">
        <v>0</v>
      </c>
      <c r="Z21" s="84">
        <v>1</v>
      </c>
      <c r="AA21" s="84">
        <v>2</v>
      </c>
      <c r="AB21" s="84">
        <v>3</v>
      </c>
      <c r="AC21" s="84">
        <v>1</v>
      </c>
      <c r="AD21" s="84">
        <v>1</v>
      </c>
      <c r="AE21" s="84">
        <v>2</v>
      </c>
      <c r="AF21" s="100">
        <v>4</v>
      </c>
      <c r="AG21" s="202" t="str">
        <f t="shared" si="0"/>
        <v xml:space="preserve"> </v>
      </c>
      <c r="AH21" s="203" t="str">
        <f t="shared" si="1"/>
        <v xml:space="preserve"> </v>
      </c>
      <c r="AI21" s="204" t="str">
        <f t="shared" si="2"/>
        <v xml:space="preserve"> </v>
      </c>
      <c r="AJ21" s="221">
        <f t="shared" si="3"/>
        <v>2.3333333333333335</v>
      </c>
      <c r="AK21" s="320">
        <f t="shared" si="4"/>
        <v>43</v>
      </c>
      <c r="AL21" s="321" t="str">
        <f t="shared" si="5"/>
        <v>Yes</v>
      </c>
      <c r="AM21" s="321" t="str">
        <f t="shared" si="6"/>
        <v>Yes</v>
      </c>
      <c r="AS21" s="334"/>
      <c r="AT21" s="334"/>
      <c r="AU21" s="334"/>
      <c r="AV21" s="334"/>
      <c r="AW21" s="334"/>
      <c r="AX21" s="334"/>
      <c r="AY21" s="334"/>
      <c r="AZ21" s="334"/>
      <c r="BA21" s="334"/>
      <c r="BB21" s="334"/>
      <c r="BC21" s="334"/>
      <c r="BD21" s="334"/>
      <c r="BE21" s="334"/>
      <c r="BF21" s="334"/>
      <c r="BG21" s="334"/>
      <c r="BH21" s="334"/>
      <c r="BI21" s="334"/>
      <c r="BJ21" s="334"/>
      <c r="BK21" s="334"/>
      <c r="BL21" s="334"/>
      <c r="BM21" s="334"/>
      <c r="BN21" s="334"/>
      <c r="BO21" s="334"/>
      <c r="BP21" s="334"/>
      <c r="BQ21" s="334"/>
      <c r="BR21" s="334"/>
      <c r="BS21" s="334"/>
      <c r="BT21" s="334"/>
      <c r="BU21" s="334"/>
      <c r="BV21" s="334"/>
      <c r="BW21" s="334"/>
      <c r="BX21" s="334"/>
      <c r="BY21" s="334"/>
      <c r="BZ21" s="334"/>
      <c r="CA21" s="334"/>
      <c r="CB21" s="334"/>
      <c r="CC21" s="334"/>
      <c r="CD21" s="334"/>
      <c r="CE21" s="334"/>
      <c r="CF21" s="334"/>
      <c r="CG21" s="334"/>
      <c r="CH21" s="334"/>
      <c r="CI21" s="334"/>
      <c r="CJ21" s="334"/>
      <c r="CK21" s="334"/>
      <c r="CL21" s="334"/>
      <c r="CM21" s="334"/>
      <c r="CN21" s="334"/>
      <c r="CO21" s="334"/>
      <c r="CP21" s="334"/>
      <c r="CQ21" s="334"/>
      <c r="CR21" s="334"/>
      <c r="CS21" s="334"/>
      <c r="CT21" s="334"/>
      <c r="CU21" s="334"/>
      <c r="CV21" s="334"/>
      <c r="CW21" s="334"/>
      <c r="CX21" s="334"/>
      <c r="CY21" s="334"/>
      <c r="CZ21" s="334"/>
      <c r="DA21" s="334"/>
      <c r="DB21" s="334"/>
      <c r="DC21" s="334"/>
      <c r="DD21" s="334"/>
      <c r="DE21" s="334"/>
      <c r="DF21" s="334"/>
      <c r="DG21" s="334"/>
      <c r="DH21" s="334"/>
      <c r="DI21" s="334"/>
      <c r="DJ21" s="334"/>
      <c r="DK21" s="334"/>
      <c r="DL21" s="334"/>
      <c r="DM21" s="334"/>
      <c r="DN21" s="334"/>
      <c r="DO21" s="334"/>
      <c r="DP21" s="334"/>
      <c r="DQ21" s="334"/>
      <c r="DR21" s="334"/>
      <c r="DS21" s="334"/>
      <c r="DT21" s="334"/>
      <c r="DU21" s="334"/>
      <c r="DV21" s="334"/>
      <c r="DW21" s="334"/>
      <c r="DX21" s="334"/>
      <c r="DY21" s="334"/>
      <c r="DZ21" s="334"/>
      <c r="EA21" s="334"/>
      <c r="EB21" s="334"/>
      <c r="EC21" s="334"/>
      <c r="ED21" s="334"/>
      <c r="EE21" s="334"/>
      <c r="EF21" s="334"/>
      <c r="EG21" s="334"/>
      <c r="EH21" s="334"/>
      <c r="EI21" s="334"/>
      <c r="EJ21" s="334"/>
      <c r="EK21" s="334"/>
      <c r="EL21" s="334"/>
      <c r="EM21" s="334"/>
      <c r="EN21" s="334"/>
      <c r="EO21" s="334"/>
      <c r="EP21" s="334"/>
      <c r="EQ21" s="334"/>
      <c r="ER21" s="334"/>
      <c r="ES21" s="334"/>
      <c r="ET21" s="334"/>
      <c r="EU21" s="334"/>
      <c r="EV21" s="334"/>
      <c r="EW21" s="334"/>
      <c r="EX21" s="334"/>
      <c r="EY21" s="334"/>
      <c r="EZ21" s="334"/>
      <c r="FA21" s="334"/>
      <c r="FB21" s="334"/>
      <c r="FC21" s="334"/>
      <c r="FD21" s="334"/>
      <c r="FE21" s="334"/>
      <c r="FF21" s="334"/>
      <c r="FG21" s="334"/>
      <c r="FH21" s="334"/>
      <c r="FI21" s="334"/>
      <c r="FJ21" s="334"/>
      <c r="FK21" s="334"/>
      <c r="FL21" s="334"/>
      <c r="FM21" s="334"/>
      <c r="FN21" s="334"/>
      <c r="FO21" s="334"/>
      <c r="FP21" s="334"/>
      <c r="FQ21" s="334"/>
      <c r="FR21" s="334"/>
      <c r="FS21" s="334"/>
      <c r="FT21" s="334"/>
      <c r="FU21" s="334"/>
      <c r="FV21" s="334"/>
      <c r="FW21" s="334"/>
    </row>
    <row r="22" spans="1:179" s="319" customFormat="1" ht="13.2" x14ac:dyDescent="0.25">
      <c r="A22" s="357" t="s">
        <v>49</v>
      </c>
      <c r="B22" s="71"/>
      <c r="C22" s="71"/>
      <c r="D22" s="71"/>
      <c r="E22" s="71"/>
      <c r="F22" s="71"/>
      <c r="G22" s="71"/>
      <c r="H22" s="5"/>
      <c r="I22" s="5"/>
      <c r="J22" s="71"/>
      <c r="K22" s="71"/>
      <c r="L22" s="71"/>
      <c r="M22" s="71">
        <v>1</v>
      </c>
      <c r="N22" s="5">
        <v>4</v>
      </c>
      <c r="O22" s="239">
        <v>3</v>
      </c>
      <c r="P22" s="239">
        <v>6</v>
      </c>
      <c r="Q22" s="280">
        <v>17</v>
      </c>
      <c r="R22" s="280">
        <f>17+1</f>
        <v>18</v>
      </c>
      <c r="S22" s="311">
        <v>23</v>
      </c>
      <c r="T22" s="280">
        <v>21</v>
      </c>
      <c r="U22" s="502">
        <f>47+1</f>
        <v>48</v>
      </c>
      <c r="V22" s="511">
        <v>42</v>
      </c>
      <c r="W22" s="249">
        <f>42+2</f>
        <v>44</v>
      </c>
      <c r="X22" s="5">
        <v>40</v>
      </c>
      <c r="Y22" s="5">
        <v>53</v>
      </c>
      <c r="Z22" s="72">
        <v>47</v>
      </c>
      <c r="AA22" s="72">
        <v>49</v>
      </c>
      <c r="AB22" s="72">
        <v>51</v>
      </c>
      <c r="AC22" s="72">
        <v>38</v>
      </c>
      <c r="AD22" s="72">
        <v>33</v>
      </c>
      <c r="AE22" s="72">
        <v>24</v>
      </c>
      <c r="AF22" s="73">
        <f>19+1</f>
        <v>20</v>
      </c>
      <c r="AG22" s="205">
        <f t="shared" si="0"/>
        <v>-0.16666666666666666</v>
      </c>
      <c r="AH22" s="206">
        <f t="shared" si="1"/>
        <v>-0.59183673469387754</v>
      </c>
      <c r="AI22" s="207">
        <f t="shared" si="2"/>
        <v>-0.52380952380952384</v>
      </c>
      <c r="AJ22" s="120">
        <f t="shared" si="3"/>
        <v>25.666666666666668</v>
      </c>
      <c r="AK22" s="331">
        <f t="shared" si="4"/>
        <v>22</v>
      </c>
      <c r="AL22" s="326" t="str">
        <f t="shared" si="5"/>
        <v>No</v>
      </c>
      <c r="AM22" s="326" t="str">
        <f t="shared" si="6"/>
        <v>No</v>
      </c>
      <c r="AS22" s="334"/>
      <c r="AT22" s="334"/>
      <c r="AU22" s="334"/>
      <c r="AV22" s="334"/>
      <c r="AW22" s="334"/>
      <c r="AX22" s="334"/>
      <c r="AY22" s="334"/>
      <c r="AZ22" s="334"/>
      <c r="BA22" s="334"/>
      <c r="BB22" s="334"/>
      <c r="BC22" s="334"/>
      <c r="BD22" s="334"/>
      <c r="BE22" s="334"/>
      <c r="BF22" s="334"/>
      <c r="BG22" s="334"/>
      <c r="BH22" s="334"/>
      <c r="BI22" s="334"/>
      <c r="BJ22" s="334"/>
      <c r="BK22" s="334"/>
      <c r="BL22" s="334"/>
      <c r="BM22" s="334"/>
      <c r="BN22" s="334"/>
      <c r="BO22" s="334"/>
      <c r="BP22" s="334"/>
      <c r="BQ22" s="334"/>
      <c r="BR22" s="334"/>
      <c r="BS22" s="334"/>
      <c r="BT22" s="334"/>
      <c r="BU22" s="334"/>
      <c r="BV22" s="334"/>
      <c r="BW22" s="334"/>
      <c r="BX22" s="334"/>
      <c r="BY22" s="334"/>
      <c r="BZ22" s="334"/>
      <c r="CA22" s="334"/>
      <c r="CB22" s="334"/>
      <c r="CC22" s="334"/>
      <c r="CD22" s="334"/>
      <c r="CE22" s="334"/>
      <c r="CF22" s="334"/>
      <c r="CG22" s="334"/>
      <c r="CH22" s="334"/>
      <c r="CI22" s="334"/>
      <c r="CJ22" s="334"/>
      <c r="CK22" s="334"/>
      <c r="CL22" s="334"/>
      <c r="CM22" s="334"/>
      <c r="CN22" s="334"/>
      <c r="CO22" s="334"/>
      <c r="CP22" s="334"/>
      <c r="CQ22" s="334"/>
      <c r="CR22" s="334"/>
      <c r="CS22" s="334"/>
      <c r="CT22" s="334"/>
      <c r="CU22" s="334"/>
      <c r="CV22" s="334"/>
      <c r="CW22" s="334"/>
      <c r="CX22" s="334"/>
      <c r="CY22" s="334"/>
      <c r="CZ22" s="334"/>
      <c r="DA22" s="334"/>
      <c r="DB22" s="334"/>
      <c r="DC22" s="334"/>
      <c r="DD22" s="334"/>
      <c r="DE22" s="334"/>
      <c r="DF22" s="334"/>
      <c r="DG22" s="334"/>
      <c r="DH22" s="334"/>
      <c r="DI22" s="334"/>
      <c r="DJ22" s="334"/>
      <c r="DK22" s="334"/>
      <c r="DL22" s="334"/>
      <c r="DM22" s="334"/>
      <c r="DN22" s="334"/>
      <c r="DO22" s="334"/>
      <c r="DP22" s="334"/>
      <c r="DQ22" s="334"/>
      <c r="DR22" s="334"/>
      <c r="DS22" s="334"/>
      <c r="DT22" s="334"/>
      <c r="DU22" s="334"/>
      <c r="DV22" s="334"/>
      <c r="DW22" s="334"/>
      <c r="DX22" s="334"/>
      <c r="DY22" s="334"/>
      <c r="DZ22" s="334"/>
      <c r="EA22" s="334"/>
      <c r="EB22" s="334"/>
      <c r="EC22" s="334"/>
      <c r="ED22" s="334"/>
      <c r="EE22" s="334"/>
      <c r="EF22" s="334"/>
      <c r="EG22" s="334"/>
      <c r="EH22" s="334"/>
      <c r="EI22" s="334"/>
      <c r="EJ22" s="334"/>
      <c r="EK22" s="334"/>
      <c r="EL22" s="334"/>
      <c r="EM22" s="334"/>
      <c r="EN22" s="334"/>
      <c r="EO22" s="334"/>
      <c r="EP22" s="334"/>
      <c r="EQ22" s="334"/>
      <c r="ER22" s="334"/>
      <c r="ES22" s="334"/>
      <c r="ET22" s="334"/>
      <c r="EU22" s="334"/>
      <c r="EV22" s="334"/>
      <c r="EW22" s="334"/>
      <c r="EX22" s="334"/>
      <c r="EY22" s="334"/>
      <c r="EZ22" s="334"/>
      <c r="FA22" s="334"/>
      <c r="FB22" s="334"/>
      <c r="FC22" s="334"/>
      <c r="FD22" s="334"/>
      <c r="FE22" s="334"/>
      <c r="FF22" s="334"/>
      <c r="FG22" s="334"/>
      <c r="FH22" s="334"/>
      <c r="FI22" s="334"/>
      <c r="FJ22" s="334"/>
      <c r="FK22" s="334"/>
      <c r="FL22" s="334"/>
      <c r="FM22" s="334"/>
      <c r="FN22" s="334"/>
      <c r="FO22" s="334"/>
      <c r="FP22" s="334"/>
      <c r="FQ22" s="334"/>
      <c r="FR22" s="334"/>
      <c r="FS22" s="334"/>
      <c r="FT22" s="334"/>
      <c r="FU22" s="334"/>
      <c r="FV22" s="334"/>
      <c r="FW22" s="334"/>
    </row>
    <row r="23" spans="1:179" s="319" customFormat="1" ht="14.4" x14ac:dyDescent="0.3">
      <c r="A23" s="357" t="s">
        <v>12</v>
      </c>
      <c r="B23" s="71">
        <v>3</v>
      </c>
      <c r="C23" s="71">
        <v>2</v>
      </c>
      <c r="D23" s="71">
        <v>1</v>
      </c>
      <c r="E23" s="71">
        <v>2</v>
      </c>
      <c r="F23" s="71">
        <v>1</v>
      </c>
      <c r="G23" s="71">
        <v>3</v>
      </c>
      <c r="H23" s="5">
        <v>1</v>
      </c>
      <c r="I23" s="5">
        <v>3</v>
      </c>
      <c r="J23" s="71">
        <v>5</v>
      </c>
      <c r="K23" s="71">
        <v>1</v>
      </c>
      <c r="L23" s="71">
        <v>5</v>
      </c>
      <c r="M23" s="71">
        <v>2</v>
      </c>
      <c r="N23" s="5">
        <v>1</v>
      </c>
      <c r="O23" s="239">
        <v>3</v>
      </c>
      <c r="P23" s="239">
        <v>2</v>
      </c>
      <c r="Q23" s="280">
        <v>0</v>
      </c>
      <c r="R23" s="280">
        <v>2</v>
      </c>
      <c r="S23" s="311">
        <v>2</v>
      </c>
      <c r="T23" s="280">
        <v>2</v>
      </c>
      <c r="U23" s="502">
        <v>1</v>
      </c>
      <c r="V23" s="511">
        <v>4</v>
      </c>
      <c r="W23" s="249">
        <f>3+3</f>
        <v>6</v>
      </c>
      <c r="X23" s="5">
        <v>1</v>
      </c>
      <c r="Y23" s="5">
        <v>4</v>
      </c>
      <c r="Z23" s="72">
        <v>5</v>
      </c>
      <c r="AA23" s="72">
        <v>3</v>
      </c>
      <c r="AB23" s="72">
        <v>5</v>
      </c>
      <c r="AC23" s="72">
        <v>3</v>
      </c>
      <c r="AD23" s="72">
        <v>3</v>
      </c>
      <c r="AE23" s="72">
        <v>3</v>
      </c>
      <c r="AF23" s="73">
        <v>1</v>
      </c>
      <c r="AG23" s="205" t="str">
        <f t="shared" si="0"/>
        <v xml:space="preserve"> </v>
      </c>
      <c r="AH23" s="206" t="str">
        <f t="shared" si="1"/>
        <v xml:space="preserve"> </v>
      </c>
      <c r="AI23" s="207" t="str">
        <f t="shared" si="2"/>
        <v xml:space="preserve"> </v>
      </c>
      <c r="AJ23" s="120">
        <f t="shared" si="3"/>
        <v>2.3333333333333335</v>
      </c>
      <c r="AK23" s="320">
        <f t="shared" si="4"/>
        <v>49</v>
      </c>
      <c r="AL23" s="321" t="str">
        <f t="shared" si="5"/>
        <v>Yes</v>
      </c>
      <c r="AM23" s="321" t="str">
        <f t="shared" si="6"/>
        <v>Yes</v>
      </c>
      <c r="AS23" s="334"/>
      <c r="AT23" s="334"/>
      <c r="AU23" s="334"/>
      <c r="AV23" s="334"/>
      <c r="AW23" s="334"/>
      <c r="AX23" s="334"/>
      <c r="AY23" s="334"/>
      <c r="AZ23" s="334"/>
      <c r="BA23" s="334"/>
      <c r="BB23" s="334"/>
      <c r="BC23" s="334"/>
      <c r="BD23" s="334"/>
      <c r="BE23" s="334"/>
      <c r="BF23" s="334"/>
      <c r="BG23" s="334"/>
      <c r="BH23" s="334"/>
      <c r="BI23" s="334"/>
      <c r="BJ23" s="334"/>
      <c r="BK23" s="334"/>
      <c r="BL23" s="334"/>
      <c r="BM23" s="334"/>
      <c r="BN23" s="334"/>
      <c r="BO23" s="334"/>
      <c r="BP23" s="334"/>
      <c r="BQ23" s="334"/>
      <c r="BR23" s="334"/>
      <c r="BS23" s="334"/>
      <c r="BT23" s="334"/>
      <c r="BU23" s="334"/>
      <c r="BV23" s="334"/>
      <c r="BW23" s="334"/>
      <c r="BX23" s="334"/>
      <c r="BY23" s="334"/>
      <c r="BZ23" s="334"/>
      <c r="CA23" s="334"/>
      <c r="CB23" s="334"/>
      <c r="CC23" s="334"/>
      <c r="CD23" s="334"/>
      <c r="CE23" s="334"/>
      <c r="CF23" s="334"/>
      <c r="CG23" s="334"/>
      <c r="CH23" s="334"/>
      <c r="CI23" s="334"/>
      <c r="CJ23" s="334"/>
      <c r="CK23" s="334"/>
      <c r="CL23" s="334"/>
      <c r="CM23" s="334"/>
      <c r="CN23" s="334"/>
      <c r="CO23" s="334"/>
      <c r="CP23" s="334"/>
      <c r="CQ23" s="334"/>
      <c r="CR23" s="334"/>
      <c r="CS23" s="334"/>
      <c r="CT23" s="334"/>
      <c r="CU23" s="334"/>
      <c r="CV23" s="334"/>
      <c r="CW23" s="334"/>
      <c r="CX23" s="334"/>
      <c r="CY23" s="334"/>
      <c r="CZ23" s="334"/>
      <c r="DA23" s="334"/>
      <c r="DB23" s="334"/>
      <c r="DC23" s="334"/>
      <c r="DD23" s="334"/>
      <c r="DE23" s="334"/>
      <c r="DF23" s="334"/>
      <c r="DG23" s="334"/>
      <c r="DH23" s="334"/>
      <c r="DI23" s="334"/>
      <c r="DJ23" s="334"/>
      <c r="DK23" s="334"/>
      <c r="DL23" s="334"/>
      <c r="DM23" s="334"/>
      <c r="DN23" s="334"/>
      <c r="DO23" s="334"/>
      <c r="DP23" s="334"/>
      <c r="DQ23" s="334"/>
      <c r="DR23" s="334"/>
      <c r="DS23" s="334"/>
      <c r="DT23" s="334"/>
      <c r="DU23" s="334"/>
      <c r="DV23" s="334"/>
      <c r="DW23" s="334"/>
      <c r="DX23" s="334"/>
      <c r="DY23" s="334"/>
      <c r="DZ23" s="334"/>
      <c r="EA23" s="334"/>
      <c r="EB23" s="334"/>
      <c r="EC23" s="334"/>
      <c r="ED23" s="334"/>
      <c r="EE23" s="334"/>
      <c r="EF23" s="334"/>
      <c r="EG23" s="334"/>
      <c r="EH23" s="334"/>
      <c r="EI23" s="334"/>
      <c r="EJ23" s="334"/>
      <c r="EK23" s="334"/>
      <c r="EL23" s="334"/>
      <c r="EM23" s="334"/>
      <c r="EN23" s="334"/>
      <c r="EO23" s="334"/>
      <c r="EP23" s="334"/>
      <c r="EQ23" s="334"/>
      <c r="ER23" s="334"/>
      <c r="ES23" s="334"/>
      <c r="ET23" s="334"/>
      <c r="EU23" s="334"/>
      <c r="EV23" s="334"/>
      <c r="EW23" s="334"/>
      <c r="EX23" s="334"/>
      <c r="EY23" s="334"/>
      <c r="EZ23" s="334"/>
      <c r="FA23" s="334"/>
      <c r="FB23" s="334"/>
      <c r="FC23" s="334"/>
      <c r="FD23" s="334"/>
      <c r="FE23" s="334"/>
      <c r="FF23" s="334"/>
      <c r="FG23" s="334"/>
      <c r="FH23" s="334"/>
      <c r="FI23" s="334"/>
      <c r="FJ23" s="334"/>
      <c r="FK23" s="334"/>
      <c r="FL23" s="334"/>
      <c r="FM23" s="334"/>
      <c r="FN23" s="334"/>
      <c r="FO23" s="334"/>
      <c r="FP23" s="334"/>
      <c r="FQ23" s="334"/>
      <c r="FR23" s="334"/>
      <c r="FS23" s="334"/>
      <c r="FT23" s="334"/>
      <c r="FU23" s="334"/>
      <c r="FV23" s="334"/>
      <c r="FW23" s="334"/>
    </row>
    <row r="24" spans="1:179" s="319" customFormat="1" ht="13.2" x14ac:dyDescent="0.25">
      <c r="A24" s="357" t="s">
        <v>14</v>
      </c>
      <c r="B24" s="71">
        <v>43</v>
      </c>
      <c r="C24" s="71">
        <v>47</v>
      </c>
      <c r="D24" s="71">
        <v>50</v>
      </c>
      <c r="E24" s="71">
        <v>65</v>
      </c>
      <c r="F24" s="71">
        <v>47</v>
      </c>
      <c r="G24" s="71">
        <v>37</v>
      </c>
      <c r="H24" s="5">
        <v>33</v>
      </c>
      <c r="I24" s="5">
        <v>45</v>
      </c>
      <c r="J24" s="71">
        <v>52</v>
      </c>
      <c r="K24" s="71">
        <v>85</v>
      </c>
      <c r="L24" s="71">
        <v>72</v>
      </c>
      <c r="M24" s="71">
        <v>55</v>
      </c>
      <c r="N24" s="5">
        <v>67</v>
      </c>
      <c r="O24" s="239">
        <v>50</v>
      </c>
      <c r="P24" s="239">
        <v>60</v>
      </c>
      <c r="Q24" s="280">
        <v>70</v>
      </c>
      <c r="R24" s="280">
        <f>75+1</f>
        <v>76</v>
      </c>
      <c r="S24" s="311">
        <f>53+2</f>
        <v>55</v>
      </c>
      <c r="T24" s="280">
        <v>66</v>
      </c>
      <c r="U24" s="502">
        <f>50+3</f>
        <v>53</v>
      </c>
      <c r="V24" s="511">
        <v>47</v>
      </c>
      <c r="W24" s="249">
        <v>39</v>
      </c>
      <c r="X24" s="5">
        <v>42</v>
      </c>
      <c r="Y24" s="5">
        <v>46</v>
      </c>
      <c r="Z24" s="72">
        <v>37</v>
      </c>
      <c r="AA24" s="72">
        <v>31</v>
      </c>
      <c r="AB24" s="72">
        <v>35</v>
      </c>
      <c r="AC24" s="72">
        <v>35</v>
      </c>
      <c r="AD24" s="72">
        <v>35</v>
      </c>
      <c r="AE24" s="72">
        <v>23</v>
      </c>
      <c r="AF24" s="73">
        <v>30</v>
      </c>
      <c r="AG24" s="205">
        <f t="shared" si="0"/>
        <v>0.30434782608695654</v>
      </c>
      <c r="AH24" s="206">
        <f t="shared" si="1"/>
        <v>-3.2258064516129031E-2</v>
      </c>
      <c r="AI24" s="207">
        <f t="shared" si="2"/>
        <v>-0.36170212765957449</v>
      </c>
      <c r="AJ24" s="120">
        <f t="shared" si="3"/>
        <v>29.333333333333332</v>
      </c>
      <c r="AK24" s="331">
        <f t="shared" si="4"/>
        <v>17</v>
      </c>
      <c r="AL24" s="326" t="str">
        <f t="shared" si="5"/>
        <v>No</v>
      </c>
      <c r="AM24" s="326" t="str">
        <f t="shared" si="6"/>
        <v>No</v>
      </c>
      <c r="AO24" s="360" t="s">
        <v>55</v>
      </c>
      <c r="AS24" s="334"/>
      <c r="AT24" s="334"/>
      <c r="AU24" s="334"/>
      <c r="AV24" s="334"/>
      <c r="AW24" s="334"/>
      <c r="AX24" s="334"/>
      <c r="AY24" s="334"/>
      <c r="AZ24" s="334"/>
      <c r="BA24" s="334"/>
      <c r="BB24" s="334"/>
      <c r="BC24" s="334"/>
      <c r="BD24" s="334"/>
      <c r="BE24" s="334"/>
      <c r="BF24" s="334"/>
      <c r="BG24" s="334"/>
      <c r="BH24" s="334"/>
      <c r="BI24" s="334"/>
      <c r="BJ24" s="334"/>
      <c r="BK24" s="334"/>
      <c r="BL24" s="334"/>
      <c r="BM24" s="334"/>
      <c r="BN24" s="334"/>
      <c r="BO24" s="334"/>
      <c r="BP24" s="334"/>
      <c r="BQ24" s="334"/>
      <c r="BR24" s="334"/>
      <c r="BS24" s="334"/>
      <c r="BT24" s="334"/>
      <c r="BU24" s="334"/>
      <c r="BV24" s="334"/>
      <c r="BW24" s="334"/>
      <c r="BX24" s="334"/>
      <c r="BY24" s="334"/>
      <c r="BZ24" s="334"/>
      <c r="CA24" s="334"/>
      <c r="CB24" s="334"/>
      <c r="CC24" s="334"/>
      <c r="CD24" s="334"/>
      <c r="CE24" s="334"/>
      <c r="CF24" s="334"/>
      <c r="CG24" s="334"/>
      <c r="CH24" s="334"/>
      <c r="CI24" s="334"/>
      <c r="CJ24" s="334"/>
      <c r="CK24" s="334"/>
      <c r="CL24" s="334"/>
      <c r="CM24" s="334"/>
      <c r="CN24" s="334"/>
      <c r="CO24" s="334"/>
      <c r="CP24" s="334"/>
      <c r="CQ24" s="334"/>
      <c r="CR24" s="334"/>
      <c r="CS24" s="334"/>
      <c r="CT24" s="334"/>
      <c r="CU24" s="334"/>
      <c r="CV24" s="334"/>
      <c r="CW24" s="334"/>
      <c r="CX24" s="334"/>
      <c r="CY24" s="334"/>
      <c r="CZ24" s="334"/>
      <c r="DA24" s="334"/>
      <c r="DB24" s="334"/>
      <c r="DC24" s="334"/>
      <c r="DD24" s="334"/>
      <c r="DE24" s="334"/>
      <c r="DF24" s="334"/>
      <c r="DG24" s="334"/>
      <c r="DH24" s="334"/>
      <c r="DI24" s="334"/>
      <c r="DJ24" s="334"/>
      <c r="DK24" s="334"/>
      <c r="DL24" s="334"/>
      <c r="DM24" s="334"/>
      <c r="DN24" s="334"/>
      <c r="DO24" s="334"/>
      <c r="DP24" s="334"/>
      <c r="DQ24" s="334"/>
      <c r="DR24" s="334"/>
      <c r="DS24" s="334"/>
      <c r="DT24" s="334"/>
      <c r="DU24" s="334"/>
      <c r="DV24" s="334"/>
      <c r="DW24" s="334"/>
      <c r="DX24" s="334"/>
      <c r="DY24" s="334"/>
      <c r="DZ24" s="334"/>
      <c r="EA24" s="334"/>
      <c r="EB24" s="334"/>
      <c r="EC24" s="334"/>
      <c r="ED24" s="334"/>
      <c r="EE24" s="334"/>
      <c r="EF24" s="334"/>
      <c r="EG24" s="334"/>
      <c r="EH24" s="334"/>
      <c r="EI24" s="334"/>
      <c r="EJ24" s="334"/>
      <c r="EK24" s="334"/>
      <c r="EL24" s="334"/>
      <c r="EM24" s="334"/>
      <c r="EN24" s="334"/>
      <c r="EO24" s="334"/>
      <c r="EP24" s="334"/>
      <c r="EQ24" s="334"/>
      <c r="ER24" s="334"/>
      <c r="ES24" s="334"/>
      <c r="ET24" s="334"/>
      <c r="EU24" s="334"/>
      <c r="EV24" s="334"/>
      <c r="EW24" s="334"/>
      <c r="EX24" s="334"/>
      <c r="EY24" s="334"/>
      <c r="EZ24" s="334"/>
      <c r="FA24" s="334"/>
      <c r="FB24" s="334"/>
      <c r="FC24" s="334"/>
      <c r="FD24" s="334"/>
      <c r="FE24" s="334"/>
      <c r="FF24" s="334"/>
      <c r="FG24" s="334"/>
      <c r="FH24" s="334"/>
      <c r="FI24" s="334"/>
      <c r="FJ24" s="334"/>
      <c r="FK24" s="334"/>
      <c r="FL24" s="334"/>
      <c r="FM24" s="334"/>
      <c r="FN24" s="334"/>
      <c r="FO24" s="334"/>
      <c r="FP24" s="334"/>
      <c r="FQ24" s="334"/>
      <c r="FR24" s="334"/>
      <c r="FS24" s="334"/>
      <c r="FT24" s="334"/>
      <c r="FU24" s="334"/>
      <c r="FV24" s="334"/>
      <c r="FW24" s="334"/>
    </row>
    <row r="25" spans="1:179" s="319" customFormat="1" ht="13.2" x14ac:dyDescent="0.25">
      <c r="A25" s="482" t="s">
        <v>123</v>
      </c>
      <c r="B25" s="74"/>
      <c r="C25" s="74"/>
      <c r="D25" s="74"/>
      <c r="E25" s="74"/>
      <c r="F25" s="74"/>
      <c r="G25" s="74"/>
      <c r="H25" s="7"/>
      <c r="I25" s="7">
        <v>26</v>
      </c>
      <c r="J25" s="74">
        <v>53</v>
      </c>
      <c r="K25" s="74">
        <v>63</v>
      </c>
      <c r="L25" s="74">
        <v>55</v>
      </c>
      <c r="M25" s="74">
        <v>58</v>
      </c>
      <c r="N25" s="7">
        <v>61</v>
      </c>
      <c r="O25" s="240">
        <v>71</v>
      </c>
      <c r="P25" s="240">
        <v>67</v>
      </c>
      <c r="Q25" s="281">
        <v>52</v>
      </c>
      <c r="R25" s="281">
        <v>66</v>
      </c>
      <c r="S25" s="312">
        <v>67</v>
      </c>
      <c r="T25" s="281">
        <v>53</v>
      </c>
      <c r="U25" s="503">
        <v>22</v>
      </c>
      <c r="V25" s="512">
        <v>58</v>
      </c>
      <c r="W25" s="250">
        <v>56</v>
      </c>
      <c r="X25" s="7">
        <v>64</v>
      </c>
      <c r="Y25" s="7">
        <v>54</v>
      </c>
      <c r="Z25" s="75">
        <v>21</v>
      </c>
      <c r="AA25" s="75">
        <v>25</v>
      </c>
      <c r="AB25" s="75">
        <v>14</v>
      </c>
      <c r="AC25" s="75">
        <v>15</v>
      </c>
      <c r="AD25" s="75">
        <v>28</v>
      </c>
      <c r="AE25" s="75">
        <v>20</v>
      </c>
      <c r="AF25" s="76">
        <f>15+1</f>
        <v>16</v>
      </c>
      <c r="AG25" s="208">
        <f t="shared" si="0"/>
        <v>-0.2</v>
      </c>
      <c r="AH25" s="209">
        <f t="shared" si="1"/>
        <v>-0.36</v>
      </c>
      <c r="AI25" s="210">
        <f t="shared" si="2"/>
        <v>-0.72413793103448276</v>
      </c>
      <c r="AJ25" s="222">
        <f t="shared" si="3"/>
        <v>21.333333333333332</v>
      </c>
      <c r="AK25" s="331">
        <f t="shared" si="4"/>
        <v>24</v>
      </c>
      <c r="AL25" s="326" t="str">
        <f t="shared" si="5"/>
        <v>No</v>
      </c>
      <c r="AM25" s="326" t="str">
        <f t="shared" si="6"/>
        <v>No</v>
      </c>
      <c r="AO25" s="360"/>
      <c r="AS25" s="334"/>
      <c r="AT25" s="334"/>
      <c r="AU25" s="334"/>
      <c r="AV25" s="334"/>
      <c r="AW25" s="334"/>
      <c r="AX25" s="334"/>
      <c r="AY25" s="334"/>
      <c r="AZ25" s="334"/>
      <c r="BA25" s="334"/>
      <c r="BB25" s="334"/>
      <c r="BC25" s="334"/>
      <c r="BD25" s="334"/>
      <c r="BE25" s="334"/>
      <c r="BF25" s="334"/>
      <c r="BG25" s="334"/>
      <c r="BH25" s="334"/>
      <c r="BI25" s="334"/>
      <c r="BJ25" s="334"/>
      <c r="BK25" s="334"/>
      <c r="BL25" s="334"/>
      <c r="BM25" s="334"/>
      <c r="BN25" s="334"/>
      <c r="BO25" s="334"/>
      <c r="BP25" s="334"/>
      <c r="BQ25" s="334"/>
      <c r="BR25" s="334"/>
      <c r="BS25" s="334"/>
      <c r="BT25" s="334"/>
      <c r="BU25" s="334"/>
      <c r="BV25" s="334"/>
      <c r="BW25" s="334"/>
      <c r="BX25" s="334"/>
      <c r="BY25" s="334"/>
      <c r="BZ25" s="334"/>
      <c r="CA25" s="334"/>
      <c r="CB25" s="334"/>
      <c r="CC25" s="334"/>
      <c r="CD25" s="334"/>
      <c r="CE25" s="334"/>
      <c r="CF25" s="334"/>
      <c r="CG25" s="334"/>
      <c r="CH25" s="334"/>
      <c r="CI25" s="334"/>
      <c r="CJ25" s="334"/>
      <c r="CK25" s="334"/>
      <c r="CL25" s="334"/>
      <c r="CM25" s="334"/>
      <c r="CN25" s="334"/>
      <c r="CO25" s="334"/>
      <c r="CP25" s="334"/>
      <c r="CQ25" s="334"/>
      <c r="CR25" s="334"/>
      <c r="CS25" s="334"/>
      <c r="CT25" s="334"/>
      <c r="CU25" s="334"/>
      <c r="CV25" s="334"/>
      <c r="CW25" s="334"/>
      <c r="CX25" s="334"/>
      <c r="CY25" s="334"/>
      <c r="CZ25" s="334"/>
      <c r="DA25" s="334"/>
      <c r="DB25" s="334"/>
      <c r="DC25" s="334"/>
      <c r="DD25" s="334"/>
      <c r="DE25" s="334"/>
      <c r="DF25" s="334"/>
      <c r="DG25" s="334"/>
      <c r="DH25" s="334"/>
      <c r="DI25" s="334"/>
      <c r="DJ25" s="334"/>
      <c r="DK25" s="334"/>
      <c r="DL25" s="334"/>
      <c r="DM25" s="334"/>
      <c r="DN25" s="334"/>
      <c r="DO25" s="334"/>
      <c r="DP25" s="334"/>
      <c r="DQ25" s="334"/>
      <c r="DR25" s="334"/>
      <c r="DS25" s="334"/>
      <c r="DT25" s="334"/>
      <c r="DU25" s="334"/>
      <c r="DV25" s="334"/>
      <c r="DW25" s="334"/>
      <c r="DX25" s="334"/>
      <c r="DY25" s="334"/>
      <c r="DZ25" s="334"/>
      <c r="EA25" s="334"/>
      <c r="EB25" s="334"/>
      <c r="EC25" s="334"/>
      <c r="ED25" s="334"/>
      <c r="EE25" s="334"/>
      <c r="EF25" s="334"/>
      <c r="EG25" s="334"/>
      <c r="EH25" s="334"/>
      <c r="EI25" s="334"/>
      <c r="EJ25" s="334"/>
      <c r="EK25" s="334"/>
      <c r="EL25" s="334"/>
      <c r="EM25" s="334"/>
      <c r="EN25" s="334"/>
      <c r="EO25" s="334"/>
      <c r="EP25" s="334"/>
      <c r="EQ25" s="334"/>
      <c r="ER25" s="334"/>
      <c r="ES25" s="334"/>
      <c r="ET25" s="334"/>
      <c r="EU25" s="334"/>
      <c r="EV25" s="334"/>
      <c r="EW25" s="334"/>
      <c r="EX25" s="334"/>
      <c r="EY25" s="334"/>
      <c r="EZ25" s="334"/>
      <c r="FA25" s="334"/>
      <c r="FB25" s="334"/>
      <c r="FC25" s="334"/>
      <c r="FD25" s="334"/>
      <c r="FE25" s="334"/>
      <c r="FF25" s="334"/>
      <c r="FG25" s="334"/>
      <c r="FH25" s="334"/>
      <c r="FI25" s="334"/>
      <c r="FJ25" s="334"/>
      <c r="FK25" s="334"/>
      <c r="FL25" s="334"/>
      <c r="FM25" s="334"/>
      <c r="FN25" s="334"/>
      <c r="FO25" s="334"/>
      <c r="FP25" s="334"/>
      <c r="FQ25" s="334"/>
      <c r="FR25" s="334"/>
      <c r="FS25" s="334"/>
      <c r="FT25" s="334"/>
      <c r="FU25" s="334"/>
      <c r="FV25" s="334"/>
      <c r="FW25" s="334"/>
    </row>
    <row r="26" spans="1:179" s="319" customFormat="1" ht="13.2" x14ac:dyDescent="0.25">
      <c r="A26" s="483" t="s">
        <v>124</v>
      </c>
      <c r="B26" s="98"/>
      <c r="C26" s="98"/>
      <c r="D26" s="98"/>
      <c r="E26" s="98"/>
      <c r="F26" s="98"/>
      <c r="G26" s="98"/>
      <c r="H26" s="99"/>
      <c r="I26" s="99"/>
      <c r="J26" s="98"/>
      <c r="K26" s="98"/>
      <c r="L26" s="98"/>
      <c r="M26" s="98"/>
      <c r="N26" s="99"/>
      <c r="O26" s="245"/>
      <c r="P26" s="245"/>
      <c r="Q26" s="287"/>
      <c r="R26" s="287"/>
      <c r="S26" s="315"/>
      <c r="T26" s="287"/>
      <c r="U26" s="508">
        <v>29</v>
      </c>
      <c r="V26" s="515"/>
      <c r="W26" s="254"/>
      <c r="X26" s="99"/>
      <c r="Y26" s="99"/>
      <c r="Z26" s="84">
        <v>34</v>
      </c>
      <c r="AA26" s="84">
        <v>41</v>
      </c>
      <c r="AB26" s="84">
        <v>36</v>
      </c>
      <c r="AC26" s="84">
        <v>28</v>
      </c>
      <c r="AD26" s="84">
        <v>36</v>
      </c>
      <c r="AE26" s="84">
        <v>25</v>
      </c>
      <c r="AF26" s="100">
        <v>26</v>
      </c>
      <c r="AG26" s="202">
        <f t="shared" si="0"/>
        <v>0.04</v>
      </c>
      <c r="AH26" s="203">
        <f t="shared" si="1"/>
        <v>-0.36585365853658536</v>
      </c>
      <c r="AI26" s="204"/>
      <c r="AJ26" s="221">
        <f t="shared" si="3"/>
        <v>29</v>
      </c>
      <c r="AK26" s="331">
        <f t="shared" si="4"/>
        <v>19</v>
      </c>
      <c r="AL26" s="326" t="str">
        <f t="shared" si="5"/>
        <v>No</v>
      </c>
      <c r="AM26" s="326" t="str">
        <f t="shared" si="6"/>
        <v>No</v>
      </c>
      <c r="AO26" s="360"/>
      <c r="AS26" s="334"/>
      <c r="AT26" s="334"/>
      <c r="AU26" s="334"/>
      <c r="AV26" s="334"/>
      <c r="AW26" s="334"/>
      <c r="AX26" s="334"/>
      <c r="AY26" s="334"/>
      <c r="AZ26" s="334"/>
      <c r="BA26" s="334"/>
      <c r="BB26" s="334"/>
      <c r="BC26" s="334"/>
      <c r="BD26" s="334"/>
      <c r="BE26" s="334"/>
      <c r="BF26" s="334"/>
      <c r="BG26" s="334"/>
      <c r="BH26" s="334"/>
      <c r="BI26" s="334"/>
      <c r="BJ26" s="334"/>
      <c r="BK26" s="334"/>
      <c r="BL26" s="334"/>
      <c r="BM26" s="334"/>
      <c r="BN26" s="334"/>
      <c r="BO26" s="334"/>
      <c r="BP26" s="334"/>
      <c r="BQ26" s="334"/>
      <c r="BR26" s="334"/>
      <c r="BS26" s="334"/>
      <c r="BT26" s="334"/>
      <c r="BU26" s="334"/>
      <c r="BV26" s="334"/>
      <c r="BW26" s="334"/>
      <c r="BX26" s="334"/>
      <c r="BY26" s="334"/>
      <c r="BZ26" s="334"/>
      <c r="CA26" s="334"/>
      <c r="CB26" s="334"/>
      <c r="CC26" s="334"/>
      <c r="CD26" s="334"/>
      <c r="CE26" s="334"/>
      <c r="CF26" s="334"/>
      <c r="CG26" s="334"/>
      <c r="CH26" s="334"/>
      <c r="CI26" s="334"/>
      <c r="CJ26" s="334"/>
      <c r="CK26" s="334"/>
      <c r="CL26" s="334"/>
      <c r="CM26" s="334"/>
      <c r="CN26" s="334"/>
      <c r="CO26" s="334"/>
      <c r="CP26" s="334"/>
      <c r="CQ26" s="334"/>
      <c r="CR26" s="334"/>
      <c r="CS26" s="334"/>
      <c r="CT26" s="334"/>
      <c r="CU26" s="334"/>
      <c r="CV26" s="334"/>
      <c r="CW26" s="334"/>
      <c r="CX26" s="334"/>
      <c r="CY26" s="334"/>
      <c r="CZ26" s="334"/>
      <c r="DA26" s="334"/>
      <c r="DB26" s="334"/>
      <c r="DC26" s="334"/>
      <c r="DD26" s="334"/>
      <c r="DE26" s="334"/>
      <c r="DF26" s="334"/>
      <c r="DG26" s="334"/>
      <c r="DH26" s="334"/>
      <c r="DI26" s="334"/>
      <c r="DJ26" s="334"/>
      <c r="DK26" s="334"/>
      <c r="DL26" s="334"/>
      <c r="DM26" s="334"/>
      <c r="DN26" s="334"/>
      <c r="DO26" s="334"/>
      <c r="DP26" s="334"/>
      <c r="DQ26" s="334"/>
      <c r="DR26" s="334"/>
      <c r="DS26" s="334"/>
      <c r="DT26" s="334"/>
      <c r="DU26" s="334"/>
      <c r="DV26" s="334"/>
      <c r="DW26" s="334"/>
      <c r="DX26" s="334"/>
      <c r="DY26" s="334"/>
      <c r="DZ26" s="334"/>
      <c r="EA26" s="334"/>
      <c r="EB26" s="334"/>
      <c r="EC26" s="334"/>
      <c r="ED26" s="334"/>
      <c r="EE26" s="334"/>
      <c r="EF26" s="334"/>
      <c r="EG26" s="334"/>
      <c r="EH26" s="334"/>
      <c r="EI26" s="334"/>
      <c r="EJ26" s="334"/>
      <c r="EK26" s="334"/>
      <c r="EL26" s="334"/>
      <c r="EM26" s="334"/>
      <c r="EN26" s="334"/>
      <c r="EO26" s="334"/>
      <c r="EP26" s="334"/>
      <c r="EQ26" s="334"/>
      <c r="ER26" s="334"/>
      <c r="ES26" s="334"/>
      <c r="ET26" s="334"/>
      <c r="EU26" s="334"/>
      <c r="EV26" s="334"/>
      <c r="EW26" s="334"/>
      <c r="EX26" s="334"/>
      <c r="EY26" s="334"/>
      <c r="EZ26" s="334"/>
      <c r="FA26" s="334"/>
      <c r="FB26" s="334"/>
      <c r="FC26" s="334"/>
      <c r="FD26" s="334"/>
      <c r="FE26" s="334"/>
      <c r="FF26" s="334"/>
      <c r="FG26" s="334"/>
      <c r="FH26" s="334"/>
      <c r="FI26" s="334"/>
      <c r="FJ26" s="334"/>
      <c r="FK26" s="334"/>
      <c r="FL26" s="334"/>
      <c r="FM26" s="334"/>
      <c r="FN26" s="334"/>
      <c r="FO26" s="334"/>
      <c r="FP26" s="334"/>
      <c r="FQ26" s="334"/>
      <c r="FR26" s="334"/>
      <c r="FS26" s="334"/>
      <c r="FT26" s="334"/>
      <c r="FU26" s="334"/>
      <c r="FV26" s="334"/>
      <c r="FW26" s="334"/>
    </row>
    <row r="27" spans="1:179" s="319" customFormat="1" ht="14.4" x14ac:dyDescent="0.3">
      <c r="A27" s="357" t="s">
        <v>15</v>
      </c>
      <c r="B27" s="71"/>
      <c r="C27" s="71"/>
      <c r="D27" s="71"/>
      <c r="E27" s="71"/>
      <c r="F27" s="71"/>
      <c r="G27" s="71"/>
      <c r="H27" s="5"/>
      <c r="I27" s="5"/>
      <c r="J27" s="71"/>
      <c r="K27" s="71"/>
      <c r="L27" s="71">
        <v>1</v>
      </c>
      <c r="M27" s="71">
        <v>6</v>
      </c>
      <c r="N27" s="5">
        <v>9</v>
      </c>
      <c r="O27" s="239">
        <v>12</v>
      </c>
      <c r="P27" s="239">
        <v>11</v>
      </c>
      <c r="Q27" s="280">
        <v>11</v>
      </c>
      <c r="R27" s="280">
        <f>21+2</f>
        <v>23</v>
      </c>
      <c r="S27" s="311">
        <f>25+2</f>
        <v>27</v>
      </c>
      <c r="T27" s="280">
        <v>16</v>
      </c>
      <c r="U27" s="502">
        <f>17+1</f>
        <v>18</v>
      </c>
      <c r="V27" s="511">
        <v>15</v>
      </c>
      <c r="W27" s="249">
        <f>12+1</f>
        <v>13</v>
      </c>
      <c r="X27" s="5">
        <v>15</v>
      </c>
      <c r="Y27" s="5">
        <v>17</v>
      </c>
      <c r="Z27" s="72">
        <v>19</v>
      </c>
      <c r="AA27" s="72">
        <v>23</v>
      </c>
      <c r="AB27" s="72">
        <v>13</v>
      </c>
      <c r="AC27" s="72">
        <v>12</v>
      </c>
      <c r="AD27" s="72">
        <v>12</v>
      </c>
      <c r="AE27" s="72">
        <v>9</v>
      </c>
      <c r="AF27" s="73">
        <v>4</v>
      </c>
      <c r="AG27" s="205" t="str">
        <f t="shared" si="0"/>
        <v xml:space="preserve"> </v>
      </c>
      <c r="AH27" s="206" t="str">
        <f t="shared" si="1"/>
        <v xml:space="preserve"> </v>
      </c>
      <c r="AI27" s="207" t="str">
        <f t="shared" si="2"/>
        <v xml:space="preserve"> </v>
      </c>
      <c r="AJ27" s="120">
        <f t="shared" si="3"/>
        <v>8.3333333333333339</v>
      </c>
      <c r="AK27" s="320">
        <f t="shared" si="4"/>
        <v>43</v>
      </c>
      <c r="AL27" s="321" t="str">
        <f t="shared" si="5"/>
        <v>Yes</v>
      </c>
      <c r="AM27" s="326" t="str">
        <f t="shared" si="6"/>
        <v>No</v>
      </c>
      <c r="AO27" s="360" t="s">
        <v>56</v>
      </c>
      <c r="AS27" s="334"/>
      <c r="AT27" s="334"/>
      <c r="AU27" s="334"/>
      <c r="AV27" s="334"/>
      <c r="AW27" s="334"/>
      <c r="AX27" s="334"/>
      <c r="AY27" s="334"/>
      <c r="AZ27" s="334"/>
      <c r="BA27" s="334"/>
      <c r="BB27" s="334"/>
      <c r="BC27" s="334"/>
      <c r="BD27" s="334"/>
      <c r="BE27" s="334"/>
      <c r="BF27" s="334"/>
      <c r="BG27" s="334"/>
      <c r="BH27" s="334"/>
      <c r="BI27" s="334"/>
      <c r="BJ27" s="334"/>
      <c r="BK27" s="334"/>
      <c r="BL27" s="334"/>
      <c r="BM27" s="334"/>
      <c r="BN27" s="334"/>
      <c r="BO27" s="334"/>
      <c r="BP27" s="334"/>
      <c r="BQ27" s="334"/>
      <c r="BR27" s="334"/>
      <c r="BS27" s="334"/>
      <c r="BT27" s="334"/>
      <c r="BU27" s="334"/>
      <c r="BV27" s="334"/>
      <c r="BW27" s="334"/>
      <c r="BX27" s="334"/>
      <c r="BY27" s="334"/>
      <c r="BZ27" s="334"/>
      <c r="CA27" s="334"/>
      <c r="CB27" s="334"/>
      <c r="CC27" s="334"/>
      <c r="CD27" s="334"/>
      <c r="CE27" s="334"/>
      <c r="CF27" s="334"/>
      <c r="CG27" s="334"/>
      <c r="CH27" s="334"/>
      <c r="CI27" s="334"/>
      <c r="CJ27" s="334"/>
      <c r="CK27" s="334"/>
      <c r="CL27" s="334"/>
      <c r="CM27" s="334"/>
      <c r="CN27" s="334"/>
      <c r="CO27" s="334"/>
      <c r="CP27" s="334"/>
      <c r="CQ27" s="334"/>
      <c r="CR27" s="334"/>
      <c r="CS27" s="334"/>
      <c r="CT27" s="334"/>
      <c r="CU27" s="334"/>
      <c r="CV27" s="334"/>
      <c r="CW27" s="334"/>
      <c r="CX27" s="334"/>
      <c r="CY27" s="334"/>
      <c r="CZ27" s="334"/>
      <c r="DA27" s="334"/>
      <c r="DB27" s="334"/>
      <c r="DC27" s="334"/>
      <c r="DD27" s="334"/>
      <c r="DE27" s="334"/>
      <c r="DF27" s="334"/>
      <c r="DG27" s="334"/>
      <c r="DH27" s="334"/>
      <c r="DI27" s="334"/>
      <c r="DJ27" s="334"/>
      <c r="DK27" s="334"/>
      <c r="DL27" s="334"/>
      <c r="DM27" s="334"/>
      <c r="DN27" s="334"/>
      <c r="DO27" s="334"/>
      <c r="DP27" s="334"/>
      <c r="DQ27" s="334"/>
      <c r="DR27" s="334"/>
      <c r="DS27" s="334"/>
      <c r="DT27" s="334"/>
      <c r="DU27" s="334"/>
      <c r="DV27" s="334"/>
      <c r="DW27" s="334"/>
      <c r="DX27" s="334"/>
      <c r="DY27" s="334"/>
      <c r="DZ27" s="334"/>
      <c r="EA27" s="334"/>
      <c r="EB27" s="334"/>
      <c r="EC27" s="334"/>
      <c r="ED27" s="334"/>
      <c r="EE27" s="334"/>
      <c r="EF27" s="334"/>
      <c r="EG27" s="334"/>
      <c r="EH27" s="334"/>
      <c r="EI27" s="334"/>
      <c r="EJ27" s="334"/>
      <c r="EK27" s="334"/>
      <c r="EL27" s="334"/>
      <c r="EM27" s="334"/>
      <c r="EN27" s="334"/>
      <c r="EO27" s="334"/>
      <c r="EP27" s="334"/>
      <c r="EQ27" s="334"/>
      <c r="ER27" s="334"/>
      <c r="ES27" s="334"/>
      <c r="ET27" s="334"/>
      <c r="EU27" s="334"/>
      <c r="EV27" s="334"/>
      <c r="EW27" s="334"/>
      <c r="EX27" s="334"/>
      <c r="EY27" s="334"/>
      <c r="EZ27" s="334"/>
      <c r="FA27" s="334"/>
      <c r="FB27" s="334"/>
      <c r="FC27" s="334"/>
      <c r="FD27" s="334"/>
      <c r="FE27" s="334"/>
      <c r="FF27" s="334"/>
      <c r="FG27" s="334"/>
      <c r="FH27" s="334"/>
      <c r="FI27" s="334"/>
      <c r="FJ27" s="334"/>
      <c r="FK27" s="334"/>
      <c r="FL27" s="334"/>
      <c r="FM27" s="334"/>
      <c r="FN27" s="334"/>
      <c r="FO27" s="334"/>
      <c r="FP27" s="334"/>
      <c r="FQ27" s="334"/>
      <c r="FR27" s="334"/>
      <c r="FS27" s="334"/>
      <c r="FT27" s="334"/>
      <c r="FU27" s="334"/>
      <c r="FV27" s="334"/>
      <c r="FW27" s="334"/>
    </row>
    <row r="28" spans="1:179" s="319" customFormat="1" ht="13.2" x14ac:dyDescent="0.25">
      <c r="A28" s="361" t="s">
        <v>19</v>
      </c>
      <c r="B28" s="71">
        <v>2</v>
      </c>
      <c r="C28" s="71">
        <v>7</v>
      </c>
      <c r="D28" s="71">
        <v>6</v>
      </c>
      <c r="E28" s="71">
        <v>5</v>
      </c>
      <c r="F28" s="71">
        <v>4</v>
      </c>
      <c r="G28" s="71">
        <v>1</v>
      </c>
      <c r="H28" s="5">
        <v>5</v>
      </c>
      <c r="I28" s="5">
        <v>8</v>
      </c>
      <c r="J28" s="71">
        <v>9</v>
      </c>
      <c r="K28" s="71">
        <v>2</v>
      </c>
      <c r="L28" s="71">
        <v>5</v>
      </c>
      <c r="M28" s="71">
        <v>6</v>
      </c>
      <c r="N28" s="5">
        <v>2</v>
      </c>
      <c r="O28" s="239">
        <v>6</v>
      </c>
      <c r="P28" s="239">
        <v>7</v>
      </c>
      <c r="Q28" s="280">
        <v>9</v>
      </c>
      <c r="R28" s="280">
        <v>7</v>
      </c>
      <c r="S28" s="311">
        <v>10</v>
      </c>
      <c r="T28" s="280">
        <v>5</v>
      </c>
      <c r="U28" s="502">
        <v>9</v>
      </c>
      <c r="V28" s="511">
        <v>18</v>
      </c>
      <c r="W28" s="249">
        <v>8</v>
      </c>
      <c r="X28" s="5">
        <v>10</v>
      </c>
      <c r="Y28" s="5">
        <v>12</v>
      </c>
      <c r="Z28" s="72">
        <v>13</v>
      </c>
      <c r="AA28" s="72">
        <v>7</v>
      </c>
      <c r="AB28" s="72">
        <v>18</v>
      </c>
      <c r="AC28" s="72">
        <v>5</v>
      </c>
      <c r="AD28" s="72">
        <v>4</v>
      </c>
      <c r="AE28" s="72">
        <v>10</v>
      </c>
      <c r="AF28" s="73">
        <v>7</v>
      </c>
      <c r="AG28" s="205" t="str">
        <f t="shared" si="0"/>
        <v xml:space="preserve"> </v>
      </c>
      <c r="AH28" s="206" t="str">
        <f t="shared" si="1"/>
        <v xml:space="preserve"> </v>
      </c>
      <c r="AI28" s="207" t="str">
        <f t="shared" si="2"/>
        <v xml:space="preserve"> </v>
      </c>
      <c r="AJ28" s="120">
        <f t="shared" si="3"/>
        <v>7</v>
      </c>
      <c r="AK28" s="331">
        <f t="shared" si="4"/>
        <v>35</v>
      </c>
      <c r="AL28" s="326" t="str">
        <f t="shared" si="5"/>
        <v>No</v>
      </c>
      <c r="AM28" s="326" t="str">
        <f t="shared" si="6"/>
        <v>No</v>
      </c>
      <c r="AS28" s="334"/>
      <c r="AT28" s="334"/>
      <c r="AU28" s="334"/>
      <c r="AV28" s="334"/>
      <c r="AW28" s="334"/>
      <c r="AX28" s="334"/>
      <c r="AY28" s="334"/>
      <c r="AZ28" s="334"/>
      <c r="BA28" s="334"/>
      <c r="BB28" s="334"/>
      <c r="BC28" s="334"/>
      <c r="BD28" s="334"/>
      <c r="BE28" s="334"/>
      <c r="BF28" s="334"/>
      <c r="BG28" s="334"/>
      <c r="BH28" s="334"/>
      <c r="BI28" s="334"/>
      <c r="BJ28" s="334"/>
      <c r="BK28" s="334"/>
      <c r="BL28" s="334"/>
      <c r="BM28" s="334"/>
      <c r="BN28" s="334"/>
      <c r="BO28" s="334"/>
      <c r="BP28" s="334"/>
      <c r="BQ28" s="334"/>
      <c r="BR28" s="334"/>
      <c r="BS28" s="334"/>
      <c r="BT28" s="334"/>
      <c r="BU28" s="334"/>
      <c r="BV28" s="334"/>
      <c r="BW28" s="334"/>
      <c r="BX28" s="334"/>
      <c r="BY28" s="334"/>
      <c r="BZ28" s="334"/>
      <c r="CA28" s="334"/>
      <c r="CB28" s="334"/>
      <c r="CC28" s="334"/>
      <c r="CD28" s="334"/>
      <c r="CE28" s="334"/>
      <c r="CF28" s="334"/>
      <c r="CG28" s="334"/>
      <c r="CH28" s="334"/>
      <c r="CI28" s="334"/>
      <c r="CJ28" s="334"/>
      <c r="CK28" s="334"/>
      <c r="CL28" s="334"/>
      <c r="CM28" s="334"/>
      <c r="CN28" s="334"/>
      <c r="CO28" s="334"/>
      <c r="CP28" s="334"/>
      <c r="CQ28" s="334"/>
      <c r="CR28" s="334"/>
      <c r="CS28" s="334"/>
      <c r="CT28" s="334"/>
      <c r="CU28" s="334"/>
      <c r="CV28" s="334"/>
      <c r="CW28" s="334"/>
      <c r="CX28" s="334"/>
      <c r="CY28" s="334"/>
      <c r="CZ28" s="334"/>
      <c r="DA28" s="334"/>
      <c r="DB28" s="334"/>
      <c r="DC28" s="334"/>
      <c r="DD28" s="334"/>
      <c r="DE28" s="334"/>
      <c r="DF28" s="334"/>
      <c r="DG28" s="334"/>
      <c r="DH28" s="334"/>
      <c r="DI28" s="334"/>
      <c r="DJ28" s="334"/>
      <c r="DK28" s="334"/>
      <c r="DL28" s="334"/>
      <c r="DM28" s="334"/>
      <c r="DN28" s="334"/>
      <c r="DO28" s="334"/>
      <c r="DP28" s="334"/>
      <c r="DQ28" s="334"/>
      <c r="DR28" s="334"/>
      <c r="DS28" s="334"/>
      <c r="DT28" s="334"/>
      <c r="DU28" s="334"/>
      <c r="DV28" s="334"/>
      <c r="DW28" s="334"/>
      <c r="DX28" s="334"/>
      <c r="DY28" s="334"/>
      <c r="DZ28" s="334"/>
      <c r="EA28" s="334"/>
      <c r="EB28" s="334"/>
      <c r="EC28" s="334"/>
      <c r="ED28" s="334"/>
      <c r="EE28" s="334"/>
      <c r="EF28" s="334"/>
      <c r="EG28" s="334"/>
      <c r="EH28" s="334"/>
      <c r="EI28" s="334"/>
      <c r="EJ28" s="334"/>
      <c r="EK28" s="334"/>
      <c r="EL28" s="334"/>
      <c r="EM28" s="334"/>
      <c r="EN28" s="334"/>
      <c r="EO28" s="334"/>
      <c r="EP28" s="334"/>
      <c r="EQ28" s="334"/>
      <c r="ER28" s="334"/>
      <c r="ES28" s="334"/>
      <c r="ET28" s="334"/>
      <c r="EU28" s="334"/>
      <c r="EV28" s="334"/>
      <c r="EW28" s="334"/>
      <c r="EX28" s="334"/>
      <c r="EY28" s="334"/>
      <c r="EZ28" s="334"/>
      <c r="FA28" s="334"/>
      <c r="FB28" s="334"/>
      <c r="FC28" s="334"/>
      <c r="FD28" s="334"/>
      <c r="FE28" s="334"/>
      <c r="FF28" s="334"/>
      <c r="FG28" s="334"/>
      <c r="FH28" s="334"/>
      <c r="FI28" s="334"/>
      <c r="FJ28" s="334"/>
      <c r="FK28" s="334"/>
      <c r="FL28" s="334"/>
      <c r="FM28" s="334"/>
      <c r="FN28" s="334"/>
      <c r="FO28" s="334"/>
      <c r="FP28" s="334"/>
      <c r="FQ28" s="334"/>
      <c r="FR28" s="334"/>
      <c r="FS28" s="334"/>
      <c r="FT28" s="334"/>
      <c r="FU28" s="334"/>
      <c r="FV28" s="334"/>
      <c r="FW28" s="334"/>
    </row>
    <row r="29" spans="1:179" s="319" customFormat="1" ht="14.4" x14ac:dyDescent="0.3">
      <c r="A29" s="361" t="s">
        <v>20</v>
      </c>
      <c r="B29" s="71">
        <v>11</v>
      </c>
      <c r="C29" s="71">
        <v>7</v>
      </c>
      <c r="D29" s="71">
        <v>10</v>
      </c>
      <c r="E29" s="71">
        <v>11</v>
      </c>
      <c r="F29" s="71">
        <v>12</v>
      </c>
      <c r="G29" s="71">
        <v>6</v>
      </c>
      <c r="H29" s="5">
        <v>9</v>
      </c>
      <c r="I29" s="5">
        <v>22</v>
      </c>
      <c r="J29" s="71">
        <v>16</v>
      </c>
      <c r="K29" s="71">
        <v>17</v>
      </c>
      <c r="L29" s="71">
        <v>4</v>
      </c>
      <c r="M29" s="71">
        <v>18</v>
      </c>
      <c r="N29" s="5">
        <v>14</v>
      </c>
      <c r="O29" s="239">
        <v>19</v>
      </c>
      <c r="P29" s="239">
        <v>14</v>
      </c>
      <c r="Q29" s="280">
        <v>14</v>
      </c>
      <c r="R29" s="280">
        <v>12</v>
      </c>
      <c r="S29" s="311">
        <f>7+1</f>
        <v>8</v>
      </c>
      <c r="T29" s="280">
        <v>9</v>
      </c>
      <c r="U29" s="502">
        <v>11</v>
      </c>
      <c r="V29" s="511">
        <v>8</v>
      </c>
      <c r="W29" s="249">
        <f>1+1</f>
        <v>2</v>
      </c>
      <c r="X29" s="5">
        <v>5</v>
      </c>
      <c r="Y29" s="5">
        <v>4</v>
      </c>
      <c r="Z29" s="72">
        <v>7</v>
      </c>
      <c r="AA29" s="72">
        <v>3</v>
      </c>
      <c r="AB29" s="72">
        <v>5</v>
      </c>
      <c r="AC29" s="72">
        <v>3</v>
      </c>
      <c r="AD29" s="72">
        <v>10</v>
      </c>
      <c r="AE29" s="72">
        <v>12</v>
      </c>
      <c r="AF29" s="73">
        <f>3+1</f>
        <v>4</v>
      </c>
      <c r="AG29" s="205" t="str">
        <f t="shared" si="0"/>
        <v xml:space="preserve"> </v>
      </c>
      <c r="AH29" s="206" t="str">
        <f t="shared" si="1"/>
        <v xml:space="preserve"> </v>
      </c>
      <c r="AI29" s="207" t="str">
        <f t="shared" si="2"/>
        <v xml:space="preserve"> </v>
      </c>
      <c r="AJ29" s="120">
        <f t="shared" si="3"/>
        <v>8.6666666666666661</v>
      </c>
      <c r="AK29" s="320">
        <f t="shared" si="4"/>
        <v>43</v>
      </c>
      <c r="AL29" s="321" t="str">
        <f t="shared" si="5"/>
        <v>Yes</v>
      </c>
      <c r="AM29" s="326" t="str">
        <f t="shared" si="6"/>
        <v>No</v>
      </c>
      <c r="AS29" s="334"/>
      <c r="AT29" s="334"/>
      <c r="AU29" s="334"/>
      <c r="AV29" s="334"/>
      <c r="AW29" s="334"/>
      <c r="AX29" s="334"/>
      <c r="AY29" s="334"/>
      <c r="AZ29" s="334"/>
      <c r="BA29" s="334"/>
      <c r="BB29" s="334"/>
      <c r="BC29" s="334"/>
      <c r="BD29" s="334"/>
      <c r="BE29" s="334"/>
      <c r="BF29" s="334"/>
      <c r="BG29" s="334"/>
      <c r="BH29" s="334"/>
      <c r="BI29" s="334"/>
      <c r="BJ29" s="334"/>
      <c r="BK29" s="334"/>
      <c r="BL29" s="334"/>
      <c r="BM29" s="334"/>
      <c r="BN29" s="334"/>
      <c r="BO29" s="334"/>
      <c r="BP29" s="334"/>
      <c r="BQ29" s="334"/>
      <c r="BR29" s="334"/>
      <c r="BS29" s="334"/>
      <c r="BT29" s="334"/>
      <c r="BU29" s="334"/>
      <c r="BV29" s="334"/>
      <c r="BW29" s="334"/>
      <c r="BX29" s="334"/>
      <c r="BY29" s="334"/>
      <c r="BZ29" s="334"/>
      <c r="CA29" s="334"/>
      <c r="CB29" s="334"/>
      <c r="CC29" s="334"/>
      <c r="CD29" s="334"/>
      <c r="CE29" s="334"/>
      <c r="CF29" s="334"/>
      <c r="CG29" s="334"/>
      <c r="CH29" s="334"/>
      <c r="CI29" s="334"/>
      <c r="CJ29" s="334"/>
      <c r="CK29" s="334"/>
      <c r="CL29" s="334"/>
      <c r="CM29" s="334"/>
      <c r="CN29" s="334"/>
      <c r="CO29" s="334"/>
      <c r="CP29" s="334"/>
      <c r="CQ29" s="334"/>
      <c r="CR29" s="334"/>
      <c r="CS29" s="334"/>
      <c r="CT29" s="334"/>
      <c r="CU29" s="334"/>
      <c r="CV29" s="334"/>
      <c r="CW29" s="334"/>
      <c r="CX29" s="334"/>
      <c r="CY29" s="334"/>
      <c r="CZ29" s="334"/>
      <c r="DA29" s="334"/>
      <c r="DB29" s="334"/>
      <c r="DC29" s="334"/>
      <c r="DD29" s="334"/>
      <c r="DE29" s="334"/>
      <c r="DF29" s="334"/>
      <c r="DG29" s="334"/>
      <c r="DH29" s="334"/>
      <c r="DI29" s="334"/>
      <c r="DJ29" s="334"/>
      <c r="DK29" s="334"/>
      <c r="DL29" s="334"/>
      <c r="DM29" s="334"/>
      <c r="DN29" s="334"/>
      <c r="DO29" s="334"/>
      <c r="DP29" s="334"/>
      <c r="DQ29" s="334"/>
      <c r="DR29" s="334"/>
      <c r="DS29" s="334"/>
      <c r="DT29" s="334"/>
      <c r="DU29" s="334"/>
      <c r="DV29" s="334"/>
      <c r="DW29" s="334"/>
      <c r="DX29" s="334"/>
      <c r="DY29" s="334"/>
      <c r="DZ29" s="334"/>
      <c r="EA29" s="334"/>
      <c r="EB29" s="334"/>
      <c r="EC29" s="334"/>
      <c r="ED29" s="334"/>
      <c r="EE29" s="334"/>
      <c r="EF29" s="334"/>
      <c r="EG29" s="334"/>
      <c r="EH29" s="334"/>
      <c r="EI29" s="334"/>
      <c r="EJ29" s="334"/>
      <c r="EK29" s="334"/>
      <c r="EL29" s="334"/>
      <c r="EM29" s="334"/>
      <c r="EN29" s="334"/>
      <c r="EO29" s="334"/>
      <c r="EP29" s="334"/>
      <c r="EQ29" s="334"/>
      <c r="ER29" s="334"/>
      <c r="ES29" s="334"/>
      <c r="ET29" s="334"/>
      <c r="EU29" s="334"/>
      <c r="EV29" s="334"/>
      <c r="EW29" s="334"/>
      <c r="EX29" s="334"/>
      <c r="EY29" s="334"/>
      <c r="EZ29" s="334"/>
      <c r="FA29" s="334"/>
      <c r="FB29" s="334"/>
      <c r="FC29" s="334"/>
      <c r="FD29" s="334"/>
      <c r="FE29" s="334"/>
      <c r="FF29" s="334"/>
      <c r="FG29" s="334"/>
      <c r="FH29" s="334"/>
      <c r="FI29" s="334"/>
      <c r="FJ29" s="334"/>
      <c r="FK29" s="334"/>
      <c r="FL29" s="334"/>
      <c r="FM29" s="334"/>
      <c r="FN29" s="334"/>
      <c r="FO29" s="334"/>
      <c r="FP29" s="334"/>
      <c r="FQ29" s="334"/>
      <c r="FR29" s="334"/>
      <c r="FS29" s="334"/>
      <c r="FT29" s="334"/>
      <c r="FU29" s="334"/>
      <c r="FV29" s="334"/>
      <c r="FW29" s="334"/>
    </row>
    <row r="30" spans="1:179" ht="13.2" x14ac:dyDescent="0.25">
      <c r="A30" s="351" t="s">
        <v>23</v>
      </c>
      <c r="B30" s="74">
        <v>22</v>
      </c>
      <c r="C30" s="74">
        <v>27</v>
      </c>
      <c r="D30" s="74">
        <v>27</v>
      </c>
      <c r="E30" s="74">
        <v>25</v>
      </c>
      <c r="F30" s="74">
        <v>25</v>
      </c>
      <c r="G30" s="74">
        <v>28</v>
      </c>
      <c r="H30" s="7">
        <v>33</v>
      </c>
      <c r="I30" s="7">
        <v>25</v>
      </c>
      <c r="J30" s="74">
        <v>25</v>
      </c>
      <c r="K30" s="74">
        <v>25</v>
      </c>
      <c r="L30" s="74">
        <v>31</v>
      </c>
      <c r="M30" s="74">
        <v>30</v>
      </c>
      <c r="N30" s="7">
        <v>33</v>
      </c>
      <c r="O30" s="240">
        <v>26</v>
      </c>
      <c r="P30" s="240">
        <v>32</v>
      </c>
      <c r="Q30" s="281">
        <v>28</v>
      </c>
      <c r="R30" s="281">
        <v>34</v>
      </c>
      <c r="S30" s="312">
        <f>34+1</f>
        <v>35</v>
      </c>
      <c r="T30" s="281">
        <v>37</v>
      </c>
      <c r="U30" s="503">
        <f>33+1</f>
        <v>34</v>
      </c>
      <c r="V30" s="512">
        <v>33</v>
      </c>
      <c r="W30" s="250">
        <f>20+1</f>
        <v>21</v>
      </c>
      <c r="X30" s="7">
        <v>23</v>
      </c>
      <c r="Y30" s="7">
        <v>38</v>
      </c>
      <c r="Z30" s="75">
        <v>34</v>
      </c>
      <c r="AA30" s="75">
        <v>32</v>
      </c>
      <c r="AB30" s="75">
        <v>37</v>
      </c>
      <c r="AC30" s="75">
        <v>17</v>
      </c>
      <c r="AD30" s="75">
        <v>26</v>
      </c>
      <c r="AE30" s="75">
        <v>25</v>
      </c>
      <c r="AF30" s="76">
        <f>23+1</f>
        <v>24</v>
      </c>
      <c r="AG30" s="208">
        <f t="shared" si="0"/>
        <v>-0.04</v>
      </c>
      <c r="AH30" s="209">
        <f t="shared" si="1"/>
        <v>-0.25</v>
      </c>
      <c r="AI30" s="210">
        <f t="shared" si="2"/>
        <v>-0.27272727272727271</v>
      </c>
      <c r="AJ30" s="222">
        <f t="shared" si="3"/>
        <v>25</v>
      </c>
      <c r="AK30" s="331">
        <f t="shared" si="4"/>
        <v>20</v>
      </c>
      <c r="AL30" s="326" t="str">
        <f t="shared" si="5"/>
        <v>No</v>
      </c>
      <c r="AM30" s="326" t="str">
        <f t="shared" si="6"/>
        <v>No</v>
      </c>
    </row>
    <row r="31" spans="1:179" ht="14.4" x14ac:dyDescent="0.3">
      <c r="A31" s="361" t="s">
        <v>24</v>
      </c>
      <c r="B31" s="71">
        <v>67</v>
      </c>
      <c r="C31" s="71">
        <v>74</v>
      </c>
      <c r="D31" s="71">
        <v>67</v>
      </c>
      <c r="E31" s="71">
        <v>81</v>
      </c>
      <c r="F31" s="71">
        <v>67</v>
      </c>
      <c r="G31" s="71">
        <v>71</v>
      </c>
      <c r="H31" s="5">
        <v>85</v>
      </c>
      <c r="I31" s="5">
        <v>79</v>
      </c>
      <c r="J31" s="71">
        <v>58</v>
      </c>
      <c r="K31" s="71">
        <v>84</v>
      </c>
      <c r="L31" s="71">
        <v>78</v>
      </c>
      <c r="M31" s="71">
        <v>71</v>
      </c>
      <c r="N31" s="5">
        <v>91</v>
      </c>
      <c r="O31" s="239">
        <v>106</v>
      </c>
      <c r="P31" s="239">
        <v>99</v>
      </c>
      <c r="Q31" s="280">
        <v>117</v>
      </c>
      <c r="R31" s="280">
        <v>120</v>
      </c>
      <c r="S31" s="311">
        <f>119+1</f>
        <v>120</v>
      </c>
      <c r="T31" s="280">
        <v>165</v>
      </c>
      <c r="U31" s="502">
        <f>121+4</f>
        <v>125</v>
      </c>
      <c r="V31" s="511">
        <v>144</v>
      </c>
      <c r="W31" s="249">
        <f>135+5</f>
        <v>140</v>
      </c>
      <c r="X31" s="5">
        <v>137</v>
      </c>
      <c r="Y31" s="5">
        <v>118</v>
      </c>
      <c r="Z31" s="72">
        <v>138</v>
      </c>
      <c r="AA31" s="72">
        <v>113</v>
      </c>
      <c r="AB31" s="72">
        <v>155</v>
      </c>
      <c r="AC31" s="72">
        <v>143</v>
      </c>
      <c r="AD31" s="72">
        <v>126</v>
      </c>
      <c r="AE31" s="72">
        <v>106</v>
      </c>
      <c r="AF31" s="73">
        <f>82+3</f>
        <v>85</v>
      </c>
      <c r="AG31" s="205">
        <f t="shared" si="0"/>
        <v>-0.19811320754716982</v>
      </c>
      <c r="AH31" s="206">
        <f t="shared" si="1"/>
        <v>-0.24778761061946902</v>
      </c>
      <c r="AI31" s="207">
        <f t="shared" si="2"/>
        <v>-0.40972222222222221</v>
      </c>
      <c r="AJ31" s="120">
        <f t="shared" si="3"/>
        <v>105.66666666666667</v>
      </c>
      <c r="AK31" s="595">
        <f t="shared" si="4"/>
        <v>3</v>
      </c>
      <c r="AL31" s="326" t="str">
        <f t="shared" si="5"/>
        <v>No</v>
      </c>
      <c r="AM31" s="326" t="str">
        <f t="shared" si="6"/>
        <v>No</v>
      </c>
    </row>
    <row r="32" spans="1:179" ht="13.2" x14ac:dyDescent="0.25">
      <c r="A32" s="361" t="s">
        <v>26</v>
      </c>
      <c r="B32" s="71">
        <v>16</v>
      </c>
      <c r="C32" s="71">
        <v>16</v>
      </c>
      <c r="D32" s="71">
        <v>17</v>
      </c>
      <c r="E32" s="71">
        <v>16</v>
      </c>
      <c r="F32" s="71">
        <v>8</v>
      </c>
      <c r="G32" s="71">
        <v>16</v>
      </c>
      <c r="H32" s="5">
        <v>16</v>
      </c>
      <c r="I32" s="5">
        <v>12</v>
      </c>
      <c r="J32" s="71">
        <v>7</v>
      </c>
      <c r="K32" s="71">
        <v>5</v>
      </c>
      <c r="L32" s="71">
        <v>10</v>
      </c>
      <c r="M32" s="71">
        <v>7</v>
      </c>
      <c r="N32" s="5">
        <v>9</v>
      </c>
      <c r="O32" s="239">
        <v>11</v>
      </c>
      <c r="P32" s="239">
        <v>18</v>
      </c>
      <c r="Q32" s="280">
        <v>15</v>
      </c>
      <c r="R32" s="280">
        <v>21</v>
      </c>
      <c r="S32" s="311">
        <v>16</v>
      </c>
      <c r="T32" s="280">
        <v>12</v>
      </c>
      <c r="U32" s="502">
        <v>9</v>
      </c>
      <c r="V32" s="511">
        <v>20</v>
      </c>
      <c r="W32" s="249">
        <v>18</v>
      </c>
      <c r="X32" s="5">
        <v>13</v>
      </c>
      <c r="Y32" s="5">
        <v>17</v>
      </c>
      <c r="Z32" s="72">
        <v>14</v>
      </c>
      <c r="AA32" s="72">
        <v>11</v>
      </c>
      <c r="AB32" s="72">
        <v>23</v>
      </c>
      <c r="AC32" s="72">
        <v>11</v>
      </c>
      <c r="AD32" s="72">
        <v>15</v>
      </c>
      <c r="AE32" s="72">
        <v>8</v>
      </c>
      <c r="AF32" s="73">
        <v>7</v>
      </c>
      <c r="AG32" s="205" t="str">
        <f t="shared" si="0"/>
        <v xml:space="preserve"> </v>
      </c>
      <c r="AH32" s="206" t="str">
        <f t="shared" si="1"/>
        <v xml:space="preserve"> </v>
      </c>
      <c r="AI32" s="207" t="str">
        <f t="shared" si="2"/>
        <v xml:space="preserve"> </v>
      </c>
      <c r="AJ32" s="120">
        <f t="shared" si="3"/>
        <v>10</v>
      </c>
      <c r="AK32" s="331">
        <f t="shared" si="4"/>
        <v>35</v>
      </c>
      <c r="AL32" s="326" t="str">
        <f t="shared" si="5"/>
        <v>No</v>
      </c>
      <c r="AM32" s="326" t="str">
        <f t="shared" si="6"/>
        <v>No</v>
      </c>
    </row>
    <row r="33" spans="1:39" ht="13.2" x14ac:dyDescent="0.25">
      <c r="A33" s="361" t="s">
        <v>27</v>
      </c>
      <c r="B33" s="71">
        <v>1</v>
      </c>
      <c r="C33" s="71">
        <v>0</v>
      </c>
      <c r="D33" s="71">
        <v>3</v>
      </c>
      <c r="E33" s="71">
        <v>5</v>
      </c>
      <c r="F33" s="71">
        <v>4</v>
      </c>
      <c r="G33" s="71">
        <v>6</v>
      </c>
      <c r="H33" s="5">
        <v>8</v>
      </c>
      <c r="I33" s="5">
        <v>12</v>
      </c>
      <c r="J33" s="71">
        <v>13</v>
      </c>
      <c r="K33" s="71">
        <v>8</v>
      </c>
      <c r="L33" s="71">
        <v>11</v>
      </c>
      <c r="M33" s="71">
        <v>16</v>
      </c>
      <c r="N33" s="5">
        <v>27</v>
      </c>
      <c r="O33" s="239">
        <v>17</v>
      </c>
      <c r="P33" s="239">
        <v>12</v>
      </c>
      <c r="Q33" s="280">
        <v>11</v>
      </c>
      <c r="R33" s="280">
        <v>6</v>
      </c>
      <c r="S33" s="311">
        <f>6+7</f>
        <v>13</v>
      </c>
      <c r="T33" s="280">
        <v>13</v>
      </c>
      <c r="U33" s="502">
        <f>9+2</f>
        <v>11</v>
      </c>
      <c r="V33" s="511">
        <v>11</v>
      </c>
      <c r="W33" s="249">
        <f>9+5</f>
        <v>14</v>
      </c>
      <c r="X33" s="5">
        <v>7</v>
      </c>
      <c r="Y33" s="5">
        <v>9</v>
      </c>
      <c r="Z33" s="72">
        <v>6</v>
      </c>
      <c r="AA33" s="72">
        <v>7</v>
      </c>
      <c r="AB33" s="72">
        <v>10</v>
      </c>
      <c r="AC33" s="72">
        <v>6</v>
      </c>
      <c r="AD33" s="72">
        <v>4</v>
      </c>
      <c r="AE33" s="72">
        <v>4</v>
      </c>
      <c r="AF33" s="73">
        <f>3+5</f>
        <v>8</v>
      </c>
      <c r="AG33" s="205" t="str">
        <f t="shared" si="0"/>
        <v xml:space="preserve"> </v>
      </c>
      <c r="AH33" s="206" t="str">
        <f t="shared" si="1"/>
        <v xml:space="preserve"> </v>
      </c>
      <c r="AI33" s="207" t="str">
        <f t="shared" si="2"/>
        <v xml:space="preserve"> </v>
      </c>
      <c r="AJ33" s="120">
        <f t="shared" si="3"/>
        <v>5.333333333333333</v>
      </c>
      <c r="AK33" s="331">
        <f t="shared" si="4"/>
        <v>34</v>
      </c>
      <c r="AL33" s="326" t="str">
        <f t="shared" si="5"/>
        <v>No</v>
      </c>
      <c r="AM33" s="326" t="str">
        <f t="shared" si="6"/>
        <v>No</v>
      </c>
    </row>
    <row r="34" spans="1:39" ht="13.2" x14ac:dyDescent="0.25">
      <c r="A34" s="361" t="s">
        <v>28</v>
      </c>
      <c r="B34" s="71"/>
      <c r="C34" s="71"/>
      <c r="D34" s="71"/>
      <c r="E34" s="71"/>
      <c r="F34" s="71"/>
      <c r="G34" s="71"/>
      <c r="H34" s="5"/>
      <c r="I34" s="5">
        <v>2</v>
      </c>
      <c r="J34" s="71">
        <v>6</v>
      </c>
      <c r="K34" s="71">
        <v>1</v>
      </c>
      <c r="L34" s="71">
        <v>5</v>
      </c>
      <c r="M34" s="71">
        <v>7</v>
      </c>
      <c r="N34" s="5">
        <v>5</v>
      </c>
      <c r="O34" s="239">
        <v>8</v>
      </c>
      <c r="P34" s="239">
        <v>9</v>
      </c>
      <c r="Q34" s="280">
        <v>4</v>
      </c>
      <c r="R34" s="280">
        <v>8</v>
      </c>
      <c r="S34" s="311">
        <v>6</v>
      </c>
      <c r="T34" s="280">
        <v>10</v>
      </c>
      <c r="U34" s="502">
        <v>12</v>
      </c>
      <c r="V34" s="511">
        <v>8</v>
      </c>
      <c r="W34" s="249">
        <v>5</v>
      </c>
      <c r="X34" s="5">
        <v>12</v>
      </c>
      <c r="Y34" s="5">
        <v>6</v>
      </c>
      <c r="Z34" s="72">
        <v>14</v>
      </c>
      <c r="AA34" s="72">
        <v>7</v>
      </c>
      <c r="AB34" s="72">
        <v>10</v>
      </c>
      <c r="AC34" s="72">
        <v>4</v>
      </c>
      <c r="AD34" s="72">
        <v>7</v>
      </c>
      <c r="AE34" s="72">
        <v>2</v>
      </c>
      <c r="AF34" s="73">
        <f>5+1</f>
        <v>6</v>
      </c>
      <c r="AG34" s="205" t="str">
        <f t="shared" si="0"/>
        <v xml:space="preserve"> </v>
      </c>
      <c r="AH34" s="206" t="str">
        <f t="shared" si="1"/>
        <v xml:space="preserve"> </v>
      </c>
      <c r="AI34" s="207" t="str">
        <f t="shared" si="2"/>
        <v xml:space="preserve"> </v>
      </c>
      <c r="AJ34" s="120">
        <f t="shared" si="3"/>
        <v>5</v>
      </c>
      <c r="AK34" s="331">
        <f t="shared" si="4"/>
        <v>40</v>
      </c>
      <c r="AL34" s="326" t="str">
        <f t="shared" si="5"/>
        <v>No</v>
      </c>
      <c r="AM34" s="326" t="str">
        <f t="shared" si="6"/>
        <v>No</v>
      </c>
    </row>
    <row r="35" spans="1:39" ht="13.8" hidden="1" x14ac:dyDescent="0.25">
      <c r="A35" s="361" t="s">
        <v>109</v>
      </c>
      <c r="B35" s="71">
        <v>7</v>
      </c>
      <c r="C35" s="71">
        <v>4</v>
      </c>
      <c r="D35" s="71"/>
      <c r="E35" s="71"/>
      <c r="F35" s="71"/>
      <c r="G35" s="71"/>
      <c r="H35" s="5"/>
      <c r="I35" s="5"/>
      <c r="J35" s="71"/>
      <c r="K35" s="71"/>
      <c r="L35" s="71"/>
      <c r="M35" s="71"/>
      <c r="N35" s="5"/>
      <c r="O35" s="239"/>
      <c r="P35" s="239"/>
      <c r="Q35" s="280"/>
      <c r="R35" s="280"/>
      <c r="S35" s="311"/>
      <c r="T35" s="280"/>
      <c r="U35" s="502"/>
      <c r="V35" s="511"/>
      <c r="W35" s="249"/>
      <c r="X35" s="5"/>
      <c r="Y35" s="5"/>
      <c r="Z35" s="73"/>
      <c r="AA35" s="73"/>
      <c r="AB35" s="73"/>
      <c r="AC35" s="73"/>
      <c r="AD35" s="73"/>
      <c r="AE35" s="73"/>
      <c r="AF35" s="73"/>
      <c r="AG35" s="80" t="str">
        <f t="shared" si="0"/>
        <v xml:space="preserve"> </v>
      </c>
      <c r="AH35" s="81" t="str">
        <f t="shared" si="1"/>
        <v xml:space="preserve"> </v>
      </c>
      <c r="AI35" s="83" t="str">
        <f t="shared" si="2"/>
        <v xml:space="preserve"> </v>
      </c>
      <c r="AJ35" s="82" t="str">
        <f t="shared" si="3"/>
        <v xml:space="preserve">  </v>
      </c>
      <c r="AK35" s="331" t="e">
        <f t="shared" si="4"/>
        <v>#N/A</v>
      </c>
      <c r="AL35" s="326" t="str">
        <f t="shared" si="5"/>
        <v>Yes</v>
      </c>
      <c r="AM35" s="326" t="str">
        <f t="shared" si="6"/>
        <v>Yes</v>
      </c>
    </row>
    <row r="36" spans="1:39" ht="13.2" x14ac:dyDescent="0.25">
      <c r="A36" s="481" t="s">
        <v>2</v>
      </c>
      <c r="B36" s="96">
        <v>78</v>
      </c>
      <c r="C36" s="96">
        <v>82</v>
      </c>
      <c r="D36" s="96">
        <v>104</v>
      </c>
      <c r="E36" s="96">
        <v>132</v>
      </c>
      <c r="F36" s="96">
        <v>106</v>
      </c>
      <c r="G36" s="96">
        <v>92</v>
      </c>
      <c r="H36" s="89">
        <v>92</v>
      </c>
      <c r="I36" s="89">
        <v>90</v>
      </c>
      <c r="J36" s="96">
        <v>104</v>
      </c>
      <c r="K36" s="96">
        <v>71</v>
      </c>
      <c r="L36" s="96">
        <v>82</v>
      </c>
      <c r="M36" s="96">
        <v>82</v>
      </c>
      <c r="N36" s="89">
        <v>91</v>
      </c>
      <c r="O36" s="238">
        <v>91</v>
      </c>
      <c r="P36" s="238">
        <v>85</v>
      </c>
      <c r="Q36" s="286">
        <v>93</v>
      </c>
      <c r="R36" s="286">
        <f>107+2</f>
        <v>109</v>
      </c>
      <c r="S36" s="310">
        <f>90+4</f>
        <v>94</v>
      </c>
      <c r="T36" s="286">
        <v>107</v>
      </c>
      <c r="U36" s="501">
        <v>110</v>
      </c>
      <c r="V36" s="510">
        <v>119</v>
      </c>
      <c r="W36" s="253">
        <v>119</v>
      </c>
      <c r="X36" s="89">
        <v>109</v>
      </c>
      <c r="Y36" s="89">
        <v>107</v>
      </c>
      <c r="Z36" s="88">
        <v>104</v>
      </c>
      <c r="AA36" s="88">
        <v>102</v>
      </c>
      <c r="AB36" s="88">
        <v>91</v>
      </c>
      <c r="AC36" s="88">
        <v>88</v>
      </c>
      <c r="AD36" s="88">
        <v>64</v>
      </c>
      <c r="AE36" s="88">
        <v>82</v>
      </c>
      <c r="AF36" s="97">
        <v>58</v>
      </c>
      <c r="AG36" s="304">
        <f t="shared" si="0"/>
        <v>-0.29268292682926828</v>
      </c>
      <c r="AH36" s="305">
        <f t="shared" si="1"/>
        <v>-0.43137254901960786</v>
      </c>
      <c r="AI36" s="306">
        <f t="shared" si="2"/>
        <v>-0.51260504201680668</v>
      </c>
      <c r="AJ36" s="223">
        <f t="shared" si="3"/>
        <v>68</v>
      </c>
      <c r="AK36" s="331">
        <f t="shared" si="4"/>
        <v>9</v>
      </c>
      <c r="AL36" s="326" t="str">
        <f t="shared" si="5"/>
        <v>No</v>
      </c>
      <c r="AM36" s="326" t="str">
        <f t="shared" si="6"/>
        <v>No</v>
      </c>
    </row>
    <row r="37" spans="1:39" ht="13.2" x14ac:dyDescent="0.25">
      <c r="A37" s="364" t="s">
        <v>3</v>
      </c>
      <c r="B37" s="71">
        <v>11</v>
      </c>
      <c r="C37" s="71">
        <v>4</v>
      </c>
      <c r="D37" s="71">
        <v>9</v>
      </c>
      <c r="E37" s="71">
        <v>10</v>
      </c>
      <c r="F37" s="71">
        <v>11</v>
      </c>
      <c r="G37" s="71">
        <v>6</v>
      </c>
      <c r="H37" s="5">
        <v>13</v>
      </c>
      <c r="I37" s="5">
        <v>12</v>
      </c>
      <c r="J37" s="71">
        <v>10</v>
      </c>
      <c r="K37" s="71">
        <v>7</v>
      </c>
      <c r="L37" s="71">
        <v>12</v>
      </c>
      <c r="M37" s="71">
        <v>8</v>
      </c>
      <c r="N37" s="5">
        <v>9</v>
      </c>
      <c r="O37" s="239">
        <v>12</v>
      </c>
      <c r="P37" s="239">
        <v>10</v>
      </c>
      <c r="Q37" s="280">
        <v>11</v>
      </c>
      <c r="R37" s="280">
        <v>7</v>
      </c>
      <c r="S37" s="311">
        <v>13</v>
      </c>
      <c r="T37" s="280">
        <v>10</v>
      </c>
      <c r="U37" s="502">
        <v>14</v>
      </c>
      <c r="V37" s="511">
        <v>15</v>
      </c>
      <c r="W37" s="249">
        <v>20</v>
      </c>
      <c r="X37" s="5">
        <v>14</v>
      </c>
      <c r="Y37" s="5">
        <v>15</v>
      </c>
      <c r="Z37" s="72">
        <v>20</v>
      </c>
      <c r="AA37" s="72">
        <v>24</v>
      </c>
      <c r="AB37" s="72">
        <v>14</v>
      </c>
      <c r="AC37" s="72">
        <v>17</v>
      </c>
      <c r="AD37" s="72">
        <v>13</v>
      </c>
      <c r="AE37" s="72">
        <v>9</v>
      </c>
      <c r="AF37" s="73">
        <v>10</v>
      </c>
      <c r="AG37" s="205" t="str">
        <f t="shared" si="0"/>
        <v xml:space="preserve"> </v>
      </c>
      <c r="AH37" s="206" t="str">
        <f t="shared" si="1"/>
        <v xml:space="preserve"> </v>
      </c>
      <c r="AI37" s="207" t="str">
        <f t="shared" si="2"/>
        <v xml:space="preserve"> </v>
      </c>
      <c r="AJ37" s="120">
        <f t="shared" si="3"/>
        <v>10.666666666666666</v>
      </c>
      <c r="AK37" s="331">
        <f t="shared" si="4"/>
        <v>32</v>
      </c>
      <c r="AL37" s="326" t="str">
        <f t="shared" si="5"/>
        <v>No</v>
      </c>
      <c r="AM37" s="326" t="str">
        <f t="shared" si="6"/>
        <v>No</v>
      </c>
    </row>
    <row r="38" spans="1:39" ht="13.2" x14ac:dyDescent="0.25">
      <c r="A38" s="364" t="s">
        <v>4</v>
      </c>
      <c r="B38" s="71">
        <v>0</v>
      </c>
      <c r="C38" s="71">
        <v>0</v>
      </c>
      <c r="D38" s="71">
        <v>0</v>
      </c>
      <c r="E38" s="71">
        <v>0</v>
      </c>
      <c r="F38" s="71">
        <v>0</v>
      </c>
      <c r="G38" s="71">
        <v>0</v>
      </c>
      <c r="H38" s="5">
        <v>1</v>
      </c>
      <c r="I38" s="5">
        <v>11</v>
      </c>
      <c r="J38" s="71">
        <v>6</v>
      </c>
      <c r="K38" s="71">
        <v>15</v>
      </c>
      <c r="L38" s="71">
        <v>15</v>
      </c>
      <c r="M38" s="71">
        <v>18</v>
      </c>
      <c r="N38" s="5">
        <v>10</v>
      </c>
      <c r="O38" s="239">
        <v>6</v>
      </c>
      <c r="P38" s="239">
        <v>16</v>
      </c>
      <c r="Q38" s="280">
        <v>9</v>
      </c>
      <c r="R38" s="280">
        <f>17+1</f>
        <v>18</v>
      </c>
      <c r="S38" s="311">
        <v>17</v>
      </c>
      <c r="T38" s="280">
        <v>11</v>
      </c>
      <c r="U38" s="502">
        <v>15</v>
      </c>
      <c r="V38" s="511">
        <v>26</v>
      </c>
      <c r="W38" s="249">
        <v>25</v>
      </c>
      <c r="X38" s="5">
        <v>31</v>
      </c>
      <c r="Y38" s="5">
        <v>36</v>
      </c>
      <c r="Z38" s="72">
        <v>36</v>
      </c>
      <c r="AA38" s="72">
        <v>39</v>
      </c>
      <c r="AB38" s="72">
        <v>26</v>
      </c>
      <c r="AC38" s="72">
        <v>29</v>
      </c>
      <c r="AD38" s="72">
        <v>31</v>
      </c>
      <c r="AE38" s="72">
        <v>27</v>
      </c>
      <c r="AF38" s="73">
        <v>32</v>
      </c>
      <c r="AG38" s="205">
        <f t="shared" si="0"/>
        <v>0.18518518518518517</v>
      </c>
      <c r="AH38" s="206">
        <f t="shared" si="1"/>
        <v>-0.17948717948717949</v>
      </c>
      <c r="AI38" s="207">
        <f t="shared" si="2"/>
        <v>0.23076923076923078</v>
      </c>
      <c r="AJ38" s="120">
        <f t="shared" si="3"/>
        <v>30</v>
      </c>
      <c r="AK38" s="331">
        <f t="shared" si="4"/>
        <v>16</v>
      </c>
      <c r="AL38" s="326" t="str">
        <f t="shared" si="5"/>
        <v>No</v>
      </c>
      <c r="AM38" s="326" t="str">
        <f t="shared" si="6"/>
        <v>No</v>
      </c>
    </row>
    <row r="39" spans="1:39" ht="13.2" x14ac:dyDescent="0.25">
      <c r="A39" s="364" t="s">
        <v>125</v>
      </c>
      <c r="B39" s="71"/>
      <c r="C39" s="71"/>
      <c r="D39" s="71"/>
      <c r="E39" s="71"/>
      <c r="F39" s="71"/>
      <c r="G39" s="71"/>
      <c r="H39" s="5"/>
      <c r="I39" s="5"/>
      <c r="J39" s="71"/>
      <c r="K39" s="71"/>
      <c r="L39" s="71"/>
      <c r="M39" s="71"/>
      <c r="N39" s="5"/>
      <c r="O39" s="239"/>
      <c r="P39" s="239"/>
      <c r="Q39" s="280"/>
      <c r="R39" s="280"/>
      <c r="S39" s="311"/>
      <c r="T39" s="280">
        <v>0</v>
      </c>
      <c r="U39" s="484"/>
      <c r="V39" s="550"/>
      <c r="W39" s="551">
        <v>0</v>
      </c>
      <c r="X39" s="552">
        <v>0</v>
      </c>
      <c r="Y39" s="552">
        <v>0</v>
      </c>
      <c r="Z39" s="553"/>
      <c r="AA39" s="559"/>
      <c r="AB39" s="560"/>
      <c r="AC39" s="551"/>
      <c r="AD39" s="72">
        <v>4</v>
      </c>
      <c r="AE39" s="72">
        <v>9</v>
      </c>
      <c r="AF39" s="73">
        <f>4+1</f>
        <v>5</v>
      </c>
      <c r="AG39" s="205" t="str">
        <f t="shared" si="0"/>
        <v xml:space="preserve"> </v>
      </c>
      <c r="AH39" s="206" t="str">
        <f t="shared" si="1"/>
        <v xml:space="preserve"> </v>
      </c>
      <c r="AI39" s="207" t="str">
        <f t="shared" si="2"/>
        <v xml:space="preserve"> </v>
      </c>
      <c r="AJ39" s="120">
        <f t="shared" si="3"/>
        <v>6</v>
      </c>
      <c r="AK39" s="331">
        <f t="shared" si="4"/>
        <v>42</v>
      </c>
      <c r="AL39" s="326" t="str">
        <f t="shared" si="5"/>
        <v>No</v>
      </c>
      <c r="AM39" s="326" t="str">
        <f t="shared" si="6"/>
        <v>No</v>
      </c>
    </row>
    <row r="40" spans="1:39" ht="13.2" x14ac:dyDescent="0.25">
      <c r="A40" s="365" t="s">
        <v>52</v>
      </c>
      <c r="B40" s="74"/>
      <c r="C40" s="74"/>
      <c r="D40" s="74"/>
      <c r="E40" s="74"/>
      <c r="F40" s="74"/>
      <c r="G40" s="74">
        <v>0</v>
      </c>
      <c r="H40" s="7"/>
      <c r="I40" s="7"/>
      <c r="J40" s="74"/>
      <c r="K40" s="74"/>
      <c r="L40" s="74"/>
      <c r="M40" s="74">
        <v>0</v>
      </c>
      <c r="N40" s="7">
        <v>0</v>
      </c>
      <c r="O40" s="240">
        <v>0</v>
      </c>
      <c r="P40" s="240">
        <v>0</v>
      </c>
      <c r="Q40" s="281">
        <v>1</v>
      </c>
      <c r="R40" s="281">
        <v>1</v>
      </c>
      <c r="S40" s="312">
        <v>2</v>
      </c>
      <c r="T40" s="281">
        <v>10</v>
      </c>
      <c r="U40" s="503">
        <f>4+2</f>
        <v>6</v>
      </c>
      <c r="V40" s="512">
        <v>19</v>
      </c>
      <c r="W40" s="250">
        <f>4+2</f>
        <v>6</v>
      </c>
      <c r="X40" s="7">
        <v>7</v>
      </c>
      <c r="Y40" s="7">
        <v>11</v>
      </c>
      <c r="Z40" s="75">
        <v>9</v>
      </c>
      <c r="AA40" s="75">
        <v>17</v>
      </c>
      <c r="AB40" s="75">
        <v>10</v>
      </c>
      <c r="AC40" s="75">
        <v>16</v>
      </c>
      <c r="AD40" s="75">
        <v>6</v>
      </c>
      <c r="AE40" s="75">
        <v>14</v>
      </c>
      <c r="AF40" s="76">
        <v>15</v>
      </c>
      <c r="AG40" s="208" t="str">
        <f t="shared" si="0"/>
        <v xml:space="preserve"> </v>
      </c>
      <c r="AH40" s="209" t="str">
        <f t="shared" si="1"/>
        <v xml:space="preserve"> </v>
      </c>
      <c r="AI40" s="210" t="str">
        <f t="shared" si="2"/>
        <v xml:space="preserve"> </v>
      </c>
      <c r="AJ40" s="222">
        <f t="shared" si="3"/>
        <v>11.666666666666666</v>
      </c>
      <c r="AK40" s="331">
        <f t="shared" si="4"/>
        <v>26</v>
      </c>
      <c r="AL40" s="326" t="str">
        <f t="shared" si="5"/>
        <v>No</v>
      </c>
      <c r="AM40" s="326" t="str">
        <f t="shared" si="6"/>
        <v>No</v>
      </c>
    </row>
    <row r="41" spans="1:39" ht="14.4" x14ac:dyDescent="0.3">
      <c r="A41" s="563" t="s">
        <v>149</v>
      </c>
      <c r="B41" s="71"/>
      <c r="C41" s="71"/>
      <c r="D41" s="71"/>
      <c r="E41" s="71"/>
      <c r="F41" s="71"/>
      <c r="G41" s="71"/>
      <c r="H41" s="5"/>
      <c r="I41" s="5"/>
      <c r="J41" s="71"/>
      <c r="K41" s="71"/>
      <c r="L41" s="71"/>
      <c r="M41" s="71"/>
      <c r="N41" s="5"/>
      <c r="O41" s="239"/>
      <c r="P41" s="239"/>
      <c r="Q41" s="280"/>
      <c r="R41" s="280"/>
      <c r="S41" s="311"/>
      <c r="T41" s="280"/>
      <c r="U41" s="502"/>
      <c r="V41" s="554"/>
      <c r="W41" s="555"/>
      <c r="X41" s="552"/>
      <c r="Y41" s="552"/>
      <c r="Z41" s="556"/>
      <c r="AA41" s="557"/>
      <c r="AB41" s="558"/>
      <c r="AC41" s="558"/>
      <c r="AD41" s="558"/>
      <c r="AE41" s="555"/>
      <c r="AF41" s="73">
        <v>2</v>
      </c>
      <c r="AG41" s="205"/>
      <c r="AH41" s="206"/>
      <c r="AI41" s="207"/>
      <c r="AJ41" s="120" t="str">
        <f t="shared" si="3"/>
        <v xml:space="preserve">  </v>
      </c>
      <c r="AK41" s="327">
        <f t="shared" si="4"/>
        <v>48</v>
      </c>
      <c r="AL41" s="326" t="s">
        <v>153</v>
      </c>
      <c r="AM41" s="326"/>
    </row>
    <row r="42" spans="1:39" ht="13.2" hidden="1" x14ac:dyDescent="0.25">
      <c r="A42" s="364" t="s">
        <v>128</v>
      </c>
      <c r="B42" s="71">
        <v>6</v>
      </c>
      <c r="C42" s="71">
        <v>8</v>
      </c>
      <c r="D42" s="71">
        <v>12</v>
      </c>
      <c r="E42" s="71">
        <v>21</v>
      </c>
      <c r="F42" s="71">
        <v>15</v>
      </c>
      <c r="G42" s="71">
        <v>6</v>
      </c>
      <c r="H42" s="5">
        <v>13</v>
      </c>
      <c r="I42" s="5">
        <v>12</v>
      </c>
      <c r="J42" s="71">
        <v>10</v>
      </c>
      <c r="K42" s="71">
        <v>8</v>
      </c>
      <c r="L42" s="71">
        <v>10</v>
      </c>
      <c r="M42" s="71">
        <v>7</v>
      </c>
      <c r="N42" s="5">
        <v>4</v>
      </c>
      <c r="O42" s="239">
        <v>8</v>
      </c>
      <c r="P42" s="239">
        <v>5</v>
      </c>
      <c r="Q42" s="280">
        <v>2</v>
      </c>
      <c r="R42" s="280">
        <v>2</v>
      </c>
      <c r="S42" s="311">
        <v>0</v>
      </c>
      <c r="T42" s="280">
        <v>1</v>
      </c>
      <c r="U42" s="502">
        <v>0</v>
      </c>
      <c r="V42" s="511">
        <v>0</v>
      </c>
      <c r="W42" s="249">
        <v>1</v>
      </c>
      <c r="X42" s="5">
        <v>0</v>
      </c>
      <c r="Y42" s="5">
        <v>0</v>
      </c>
      <c r="Z42" s="72">
        <v>0</v>
      </c>
      <c r="AA42" s="72">
        <v>0</v>
      </c>
      <c r="AB42" s="72">
        <v>0</v>
      </c>
      <c r="AC42" s="72">
        <v>0</v>
      </c>
      <c r="AD42" s="72">
        <v>0</v>
      </c>
      <c r="AE42" s="72">
        <v>0</v>
      </c>
      <c r="AF42" s="73"/>
      <c r="AG42" s="205" t="str">
        <f t="shared" si="0"/>
        <v xml:space="preserve"> </v>
      </c>
      <c r="AH42" s="206" t="str">
        <f t="shared" si="1"/>
        <v xml:space="preserve"> </v>
      </c>
      <c r="AI42" s="207" t="str">
        <f t="shared" si="2"/>
        <v xml:space="preserve"> </v>
      </c>
      <c r="AJ42" s="120" t="str">
        <f t="shared" si="3"/>
        <v xml:space="preserve">  </v>
      </c>
      <c r="AK42" s="331" t="e">
        <f t="shared" si="4"/>
        <v>#N/A</v>
      </c>
      <c r="AL42" s="326"/>
      <c r="AM42" s="326"/>
    </row>
    <row r="43" spans="1:39" ht="13.2" x14ac:dyDescent="0.25">
      <c r="A43" s="364" t="s">
        <v>13</v>
      </c>
      <c r="B43" s="71">
        <v>14</v>
      </c>
      <c r="C43" s="71">
        <v>31</v>
      </c>
      <c r="D43" s="71">
        <v>26</v>
      </c>
      <c r="E43" s="71">
        <v>22</v>
      </c>
      <c r="F43" s="71">
        <v>22</v>
      </c>
      <c r="G43" s="71">
        <v>22</v>
      </c>
      <c r="H43" s="5">
        <v>17</v>
      </c>
      <c r="I43" s="5">
        <v>22</v>
      </c>
      <c r="J43" s="71">
        <v>28</v>
      </c>
      <c r="K43" s="71">
        <v>13</v>
      </c>
      <c r="L43" s="71">
        <v>32</v>
      </c>
      <c r="M43" s="71">
        <v>20</v>
      </c>
      <c r="N43" s="5">
        <v>20</v>
      </c>
      <c r="O43" s="239">
        <v>34</v>
      </c>
      <c r="P43" s="239">
        <v>35</v>
      </c>
      <c r="Q43" s="280">
        <v>37</v>
      </c>
      <c r="R43" s="280">
        <f>28+1</f>
        <v>29</v>
      </c>
      <c r="S43" s="311">
        <f>31+1</f>
        <v>32</v>
      </c>
      <c r="T43" s="280">
        <v>30</v>
      </c>
      <c r="U43" s="502">
        <v>28</v>
      </c>
      <c r="V43" s="511">
        <v>38</v>
      </c>
      <c r="W43" s="249">
        <v>23</v>
      </c>
      <c r="X43" s="5">
        <v>35</v>
      </c>
      <c r="Y43" s="5">
        <v>31</v>
      </c>
      <c r="Z43" s="72">
        <v>30</v>
      </c>
      <c r="AA43" s="72">
        <v>25</v>
      </c>
      <c r="AB43" s="72">
        <v>23</v>
      </c>
      <c r="AC43" s="72">
        <v>15</v>
      </c>
      <c r="AD43" s="72">
        <v>15</v>
      </c>
      <c r="AE43" s="72">
        <v>15</v>
      </c>
      <c r="AF43" s="73">
        <f>10+1</f>
        <v>11</v>
      </c>
      <c r="AG43" s="205" t="str">
        <f t="shared" si="0"/>
        <v xml:space="preserve"> </v>
      </c>
      <c r="AH43" s="206" t="str">
        <f t="shared" si="1"/>
        <v xml:space="preserve"> </v>
      </c>
      <c r="AI43" s="207" t="str">
        <f t="shared" si="2"/>
        <v xml:space="preserve"> </v>
      </c>
      <c r="AJ43" s="120">
        <f t="shared" si="3"/>
        <v>13.666666666666666</v>
      </c>
      <c r="AK43" s="331">
        <f t="shared" si="4"/>
        <v>28</v>
      </c>
      <c r="AL43" s="326" t="str">
        <f t="shared" ref="AL43" si="7">IF(AF43&lt;5,"Yes","No")</f>
        <v>No</v>
      </c>
      <c r="AM43" s="326" t="str">
        <f t="shared" ref="AM43" si="8">IF((AE43+AF43+AD43)&lt;15,"Yes","No")</f>
        <v>No</v>
      </c>
    </row>
    <row r="44" spans="1:39" ht="14.4" x14ac:dyDescent="0.3">
      <c r="A44" s="364" t="s">
        <v>126</v>
      </c>
      <c r="B44" s="71"/>
      <c r="C44" s="71"/>
      <c r="D44" s="71"/>
      <c r="E44" s="71"/>
      <c r="F44" s="71"/>
      <c r="G44" s="71"/>
      <c r="H44" s="5"/>
      <c r="I44" s="5"/>
      <c r="J44" s="71"/>
      <c r="K44" s="71"/>
      <c r="L44" s="71"/>
      <c r="M44" s="71"/>
      <c r="N44" s="5"/>
      <c r="O44" s="239"/>
      <c r="P44" s="239"/>
      <c r="Q44" s="280"/>
      <c r="R44" s="280">
        <v>0</v>
      </c>
      <c r="S44" s="311"/>
      <c r="T44" s="280">
        <v>0</v>
      </c>
      <c r="U44" s="484"/>
      <c r="V44" s="550"/>
      <c r="W44" s="551">
        <v>0</v>
      </c>
      <c r="X44" s="552">
        <v>0</v>
      </c>
      <c r="Y44" s="552">
        <v>0</v>
      </c>
      <c r="Z44" s="553"/>
      <c r="AA44" s="552"/>
      <c r="AB44" s="72">
        <v>1</v>
      </c>
      <c r="AC44" s="72">
        <v>1</v>
      </c>
      <c r="AD44" s="72">
        <v>8</v>
      </c>
      <c r="AE44" s="72">
        <v>6</v>
      </c>
      <c r="AF44" s="73">
        <v>4</v>
      </c>
      <c r="AG44" s="205" t="str">
        <f t="shared" si="0"/>
        <v xml:space="preserve"> </v>
      </c>
      <c r="AH44" s="206" t="str">
        <f t="shared" si="1"/>
        <v xml:space="preserve"> </v>
      </c>
      <c r="AI44" s="207" t="str">
        <f t="shared" si="2"/>
        <v xml:space="preserve"> </v>
      </c>
      <c r="AJ44" s="120">
        <f t="shared" si="3"/>
        <v>6</v>
      </c>
      <c r="AK44" s="327">
        <f t="shared" si="4"/>
        <v>43</v>
      </c>
      <c r="AL44" s="326" t="s">
        <v>153</v>
      </c>
      <c r="AM44" s="326"/>
    </row>
    <row r="45" spans="1:39" ht="13.2" x14ac:dyDescent="0.25">
      <c r="A45" s="366" t="s">
        <v>18</v>
      </c>
      <c r="B45" s="71">
        <v>21</v>
      </c>
      <c r="C45" s="71">
        <v>21</v>
      </c>
      <c r="D45" s="71">
        <v>24</v>
      </c>
      <c r="E45" s="71">
        <v>22</v>
      </c>
      <c r="F45" s="71">
        <v>21</v>
      </c>
      <c r="G45" s="71">
        <v>16</v>
      </c>
      <c r="H45" s="5">
        <v>27</v>
      </c>
      <c r="I45" s="5">
        <v>12</v>
      </c>
      <c r="J45" s="71">
        <v>22</v>
      </c>
      <c r="K45" s="71">
        <v>24</v>
      </c>
      <c r="L45" s="71">
        <v>22</v>
      </c>
      <c r="M45" s="71">
        <v>22</v>
      </c>
      <c r="N45" s="5">
        <v>24</v>
      </c>
      <c r="O45" s="239">
        <v>28</v>
      </c>
      <c r="P45" s="239">
        <v>14</v>
      </c>
      <c r="Q45" s="280">
        <v>19</v>
      </c>
      <c r="R45" s="280">
        <f>23+4</f>
        <v>27</v>
      </c>
      <c r="S45" s="311">
        <f>24+2</f>
        <v>26</v>
      </c>
      <c r="T45" s="280">
        <v>26</v>
      </c>
      <c r="U45" s="502">
        <f>30+1</f>
        <v>31</v>
      </c>
      <c r="V45" s="511">
        <v>33</v>
      </c>
      <c r="W45" s="249">
        <f>32+1</f>
        <v>33</v>
      </c>
      <c r="X45" s="5">
        <v>31</v>
      </c>
      <c r="Y45" s="5">
        <v>26</v>
      </c>
      <c r="Z45" s="72">
        <v>27</v>
      </c>
      <c r="AA45" s="72">
        <v>21</v>
      </c>
      <c r="AB45" s="72">
        <v>36</v>
      </c>
      <c r="AC45" s="72">
        <v>21</v>
      </c>
      <c r="AD45" s="72">
        <v>21</v>
      </c>
      <c r="AE45" s="72">
        <v>14</v>
      </c>
      <c r="AF45" s="73">
        <v>21</v>
      </c>
      <c r="AG45" s="205" t="str">
        <f t="shared" si="0"/>
        <v xml:space="preserve"> </v>
      </c>
      <c r="AH45" s="206" t="str">
        <f t="shared" si="1"/>
        <v xml:space="preserve"> </v>
      </c>
      <c r="AI45" s="207" t="str">
        <f t="shared" si="2"/>
        <v xml:space="preserve"> </v>
      </c>
      <c r="AJ45" s="120">
        <f t="shared" si="3"/>
        <v>18.666666666666668</v>
      </c>
      <c r="AK45" s="331">
        <f t="shared" si="4"/>
        <v>21</v>
      </c>
      <c r="AL45" s="326" t="str">
        <f t="shared" ref="AL45:AL61" si="9">IF(AF45&lt;5,"Yes","No")</f>
        <v>No</v>
      </c>
      <c r="AM45" s="326" t="str">
        <f t="shared" ref="AM45:AM61" si="10">IF((AE45+AF45+AD45)&lt;15,"Yes","No")</f>
        <v>No</v>
      </c>
    </row>
    <row r="46" spans="1:39" ht="13.2" x14ac:dyDescent="0.25">
      <c r="A46" s="366" t="s">
        <v>22</v>
      </c>
      <c r="B46" s="71">
        <v>1</v>
      </c>
      <c r="C46" s="71">
        <v>5</v>
      </c>
      <c r="D46" s="71">
        <v>8</v>
      </c>
      <c r="E46" s="71">
        <v>5</v>
      </c>
      <c r="F46" s="71">
        <v>4</v>
      </c>
      <c r="G46" s="71">
        <v>9</v>
      </c>
      <c r="H46" s="5">
        <v>5</v>
      </c>
      <c r="I46" s="5">
        <v>8</v>
      </c>
      <c r="J46" s="71">
        <v>13</v>
      </c>
      <c r="K46" s="71">
        <v>8</v>
      </c>
      <c r="L46" s="71">
        <v>4</v>
      </c>
      <c r="M46" s="71">
        <v>12</v>
      </c>
      <c r="N46" s="5">
        <v>8</v>
      </c>
      <c r="O46" s="239">
        <v>13</v>
      </c>
      <c r="P46" s="239">
        <v>6</v>
      </c>
      <c r="Q46" s="280">
        <v>8</v>
      </c>
      <c r="R46" s="280">
        <v>7</v>
      </c>
      <c r="S46" s="311">
        <v>5</v>
      </c>
      <c r="T46" s="280">
        <v>11</v>
      </c>
      <c r="U46" s="502">
        <v>9</v>
      </c>
      <c r="V46" s="511">
        <v>12</v>
      </c>
      <c r="W46" s="249">
        <v>21</v>
      </c>
      <c r="X46" s="5">
        <v>18</v>
      </c>
      <c r="Y46" s="5">
        <v>30</v>
      </c>
      <c r="Z46" s="72">
        <v>12</v>
      </c>
      <c r="AA46" s="72">
        <v>20</v>
      </c>
      <c r="AB46" s="72">
        <v>14</v>
      </c>
      <c r="AC46" s="72">
        <v>9</v>
      </c>
      <c r="AD46" s="72">
        <v>8</v>
      </c>
      <c r="AE46" s="72">
        <v>5</v>
      </c>
      <c r="AF46" s="73">
        <v>7</v>
      </c>
      <c r="AG46" s="205" t="str">
        <f t="shared" si="0"/>
        <v xml:space="preserve"> </v>
      </c>
      <c r="AH46" s="206" t="str">
        <f t="shared" si="1"/>
        <v xml:space="preserve"> </v>
      </c>
      <c r="AI46" s="207" t="str">
        <f t="shared" si="2"/>
        <v xml:space="preserve"> </v>
      </c>
      <c r="AJ46" s="120">
        <f t="shared" si="3"/>
        <v>6.666666666666667</v>
      </c>
      <c r="AK46" s="331">
        <f t="shared" si="4"/>
        <v>35</v>
      </c>
      <c r="AL46" s="326" t="str">
        <f t="shared" si="9"/>
        <v>No</v>
      </c>
      <c r="AM46" s="326" t="str">
        <f t="shared" si="10"/>
        <v>No</v>
      </c>
    </row>
    <row r="47" spans="1:39" ht="13.8" hidden="1" x14ac:dyDescent="0.25">
      <c r="A47" s="366" t="s">
        <v>110</v>
      </c>
      <c r="B47" s="71">
        <v>8</v>
      </c>
      <c r="C47" s="71">
        <v>2</v>
      </c>
      <c r="D47" s="71"/>
      <c r="E47" s="71">
        <v>2</v>
      </c>
      <c r="F47" s="71">
        <v>0</v>
      </c>
      <c r="G47" s="71">
        <v>0</v>
      </c>
      <c r="H47" s="5">
        <v>0</v>
      </c>
      <c r="I47" s="5">
        <v>0</v>
      </c>
      <c r="J47" s="71">
        <v>0</v>
      </c>
      <c r="K47" s="71">
        <v>0</v>
      </c>
      <c r="L47" s="71">
        <v>0</v>
      </c>
      <c r="M47" s="71">
        <v>0</v>
      </c>
      <c r="N47" s="5">
        <v>0</v>
      </c>
      <c r="O47" s="239"/>
      <c r="P47" s="239"/>
      <c r="Q47" s="280"/>
      <c r="R47" s="280"/>
      <c r="S47" s="311"/>
      <c r="T47" s="280"/>
      <c r="U47" s="502"/>
      <c r="V47" s="511"/>
      <c r="W47" s="249"/>
      <c r="X47" s="5"/>
      <c r="Y47" s="5"/>
      <c r="Z47" s="72"/>
      <c r="AA47" s="72"/>
      <c r="AB47" s="72"/>
      <c r="AC47" s="72"/>
      <c r="AD47" s="72"/>
      <c r="AE47" s="72"/>
      <c r="AF47" s="73"/>
      <c r="AG47" s="205" t="str">
        <f t="shared" si="0"/>
        <v xml:space="preserve"> </v>
      </c>
      <c r="AH47" s="206" t="str">
        <f t="shared" si="1"/>
        <v xml:space="preserve"> </v>
      </c>
      <c r="AI47" s="207" t="str">
        <f t="shared" si="2"/>
        <v xml:space="preserve"> </v>
      </c>
      <c r="AJ47" s="120" t="str">
        <f t="shared" si="3"/>
        <v xml:space="preserve">  </v>
      </c>
      <c r="AK47" s="331" t="e">
        <f t="shared" si="4"/>
        <v>#N/A</v>
      </c>
      <c r="AL47" s="326" t="str">
        <f t="shared" si="9"/>
        <v>Yes</v>
      </c>
      <c r="AM47" s="326" t="str">
        <f t="shared" si="10"/>
        <v>Yes</v>
      </c>
    </row>
    <row r="48" spans="1:39" ht="14.4" x14ac:dyDescent="0.3">
      <c r="A48" s="367" t="s">
        <v>127</v>
      </c>
      <c r="B48" s="105"/>
      <c r="C48" s="105"/>
      <c r="D48" s="105"/>
      <c r="E48" s="105"/>
      <c r="F48" s="105"/>
      <c r="G48" s="105"/>
      <c r="H48" s="90"/>
      <c r="I48" s="90"/>
      <c r="J48" s="105"/>
      <c r="K48" s="105"/>
      <c r="L48" s="105"/>
      <c r="M48" s="105"/>
      <c r="N48" s="90"/>
      <c r="O48" s="247"/>
      <c r="P48" s="247">
        <v>0</v>
      </c>
      <c r="Q48" s="289"/>
      <c r="R48" s="289">
        <v>0</v>
      </c>
      <c r="S48" s="316"/>
      <c r="T48" s="289">
        <v>0</v>
      </c>
      <c r="U48" s="484"/>
      <c r="V48" s="519">
        <v>0</v>
      </c>
      <c r="W48" s="255">
        <v>0</v>
      </c>
      <c r="X48" s="90">
        <v>0</v>
      </c>
      <c r="Y48" s="90">
        <v>0</v>
      </c>
      <c r="Z48" s="79">
        <v>1</v>
      </c>
      <c r="AA48" s="79">
        <v>6</v>
      </c>
      <c r="AB48" s="79">
        <v>1</v>
      </c>
      <c r="AC48" s="79">
        <v>6</v>
      </c>
      <c r="AD48" s="79">
        <v>5</v>
      </c>
      <c r="AE48" s="79">
        <v>2</v>
      </c>
      <c r="AF48" s="78">
        <v>1</v>
      </c>
      <c r="AG48" s="473" t="str">
        <f t="shared" si="0"/>
        <v xml:space="preserve"> </v>
      </c>
      <c r="AH48" s="474" t="str">
        <f t="shared" si="1"/>
        <v xml:space="preserve"> </v>
      </c>
      <c r="AI48" s="475" t="str">
        <f t="shared" si="2"/>
        <v xml:space="preserve"> </v>
      </c>
      <c r="AJ48" s="469">
        <f t="shared" si="3"/>
        <v>2.6666666666666665</v>
      </c>
      <c r="AK48" s="320">
        <f t="shared" si="4"/>
        <v>49</v>
      </c>
      <c r="AL48" s="321" t="str">
        <f t="shared" si="9"/>
        <v>Yes</v>
      </c>
      <c r="AM48" s="321" t="str">
        <f t="shared" si="10"/>
        <v>Yes</v>
      </c>
    </row>
    <row r="49" spans="1:39" ht="13.2" x14ac:dyDescent="0.25">
      <c r="A49" s="471" t="s">
        <v>0</v>
      </c>
      <c r="B49" s="96">
        <v>62</v>
      </c>
      <c r="C49" s="96">
        <v>49</v>
      </c>
      <c r="D49" s="96">
        <v>55</v>
      </c>
      <c r="E49" s="96">
        <v>60</v>
      </c>
      <c r="F49" s="96">
        <v>42</v>
      </c>
      <c r="G49" s="96">
        <v>26</v>
      </c>
      <c r="H49" s="89">
        <v>46</v>
      </c>
      <c r="I49" s="89">
        <v>30</v>
      </c>
      <c r="J49" s="96">
        <v>25</v>
      </c>
      <c r="K49" s="96">
        <v>32</v>
      </c>
      <c r="L49" s="96">
        <v>34</v>
      </c>
      <c r="M49" s="96">
        <v>40</v>
      </c>
      <c r="N49" s="89">
        <v>38</v>
      </c>
      <c r="O49" s="238">
        <v>30</v>
      </c>
      <c r="P49" s="238">
        <v>61</v>
      </c>
      <c r="Q49" s="286">
        <v>60</v>
      </c>
      <c r="R49" s="286">
        <v>53</v>
      </c>
      <c r="S49" s="310">
        <f>46+1</f>
        <v>47</v>
      </c>
      <c r="T49" s="286">
        <v>44</v>
      </c>
      <c r="U49" s="501">
        <f>56+1</f>
        <v>57</v>
      </c>
      <c r="V49" s="510">
        <v>53</v>
      </c>
      <c r="W49" s="253">
        <f>66+3</f>
        <v>69</v>
      </c>
      <c r="X49" s="89">
        <v>81</v>
      </c>
      <c r="Y49" s="89">
        <v>60</v>
      </c>
      <c r="Z49" s="88">
        <v>40</v>
      </c>
      <c r="AA49" s="88">
        <v>63</v>
      </c>
      <c r="AB49" s="88">
        <v>46</v>
      </c>
      <c r="AC49" s="88">
        <v>37</v>
      </c>
      <c r="AD49" s="88">
        <v>41</v>
      </c>
      <c r="AE49" s="88">
        <v>35</v>
      </c>
      <c r="AF49" s="97">
        <f>35+3</f>
        <v>38</v>
      </c>
      <c r="AG49" s="304">
        <f t="shared" si="0"/>
        <v>8.5714285714285715E-2</v>
      </c>
      <c r="AH49" s="305">
        <f t="shared" si="1"/>
        <v>-0.3968253968253968</v>
      </c>
      <c r="AI49" s="306">
        <f t="shared" si="2"/>
        <v>-0.28301886792452829</v>
      </c>
      <c r="AJ49" s="223">
        <f t="shared" si="3"/>
        <v>38</v>
      </c>
      <c r="AK49" s="331">
        <f t="shared" si="4"/>
        <v>13</v>
      </c>
      <c r="AL49" s="326" t="str">
        <f t="shared" si="9"/>
        <v>No</v>
      </c>
      <c r="AM49" s="326" t="str">
        <f t="shared" si="10"/>
        <v>No</v>
      </c>
    </row>
    <row r="50" spans="1:39" ht="13.2" x14ac:dyDescent="0.25">
      <c r="A50" s="370" t="s">
        <v>148</v>
      </c>
      <c r="B50" s="71"/>
      <c r="C50" s="71"/>
      <c r="D50" s="71"/>
      <c r="E50" s="71"/>
      <c r="F50" s="71"/>
      <c r="G50" s="71"/>
      <c r="H50" s="5"/>
      <c r="I50" s="5"/>
      <c r="J50" s="71"/>
      <c r="K50" s="71"/>
      <c r="L50" s="71"/>
      <c r="M50" s="71"/>
      <c r="N50" s="5"/>
      <c r="O50" s="239"/>
      <c r="P50" s="239"/>
      <c r="Q50" s="280"/>
      <c r="R50" s="280">
        <v>0</v>
      </c>
      <c r="S50" s="311"/>
      <c r="T50" s="280">
        <v>0</v>
      </c>
      <c r="U50" s="484"/>
      <c r="V50" s="511">
        <v>2</v>
      </c>
      <c r="W50" s="249">
        <v>3</v>
      </c>
      <c r="X50" s="5">
        <v>8</v>
      </c>
      <c r="Y50" s="5">
        <v>10</v>
      </c>
      <c r="Z50" s="72">
        <v>13</v>
      </c>
      <c r="AA50" s="72">
        <v>8</v>
      </c>
      <c r="AB50" s="72">
        <v>5</v>
      </c>
      <c r="AC50" s="72">
        <v>5</v>
      </c>
      <c r="AD50" s="72">
        <v>4</v>
      </c>
      <c r="AE50" s="72">
        <v>7</v>
      </c>
      <c r="AF50" s="73">
        <v>11</v>
      </c>
      <c r="AG50" s="205" t="str">
        <f t="shared" si="0"/>
        <v xml:space="preserve"> </v>
      </c>
      <c r="AH50" s="206" t="str">
        <f t="shared" si="1"/>
        <v xml:space="preserve"> </v>
      </c>
      <c r="AI50" s="207" t="str">
        <f t="shared" si="2"/>
        <v xml:space="preserve"> </v>
      </c>
      <c r="AJ50" s="120">
        <f t="shared" si="3"/>
        <v>7.333333333333333</v>
      </c>
      <c r="AK50" s="331">
        <f t="shared" si="4"/>
        <v>28</v>
      </c>
      <c r="AL50" s="326" t="str">
        <f t="shared" si="9"/>
        <v>No</v>
      </c>
      <c r="AM50" s="326" t="str">
        <f t="shared" si="10"/>
        <v>No</v>
      </c>
    </row>
    <row r="51" spans="1:39" ht="13.2" x14ac:dyDescent="0.25">
      <c r="A51" s="357" t="s">
        <v>6</v>
      </c>
      <c r="B51" s="71">
        <v>8</v>
      </c>
      <c r="C51" s="71">
        <v>14</v>
      </c>
      <c r="D51" s="71">
        <v>6</v>
      </c>
      <c r="E51" s="71">
        <v>14</v>
      </c>
      <c r="F51" s="71">
        <v>1</v>
      </c>
      <c r="G51" s="71">
        <v>6</v>
      </c>
      <c r="H51" s="5">
        <v>11</v>
      </c>
      <c r="I51" s="5">
        <v>2</v>
      </c>
      <c r="J51" s="71">
        <v>2</v>
      </c>
      <c r="K51" s="71">
        <v>3</v>
      </c>
      <c r="L51" s="71">
        <v>8</v>
      </c>
      <c r="M51" s="71">
        <v>8</v>
      </c>
      <c r="N51" s="5">
        <v>5</v>
      </c>
      <c r="O51" s="239">
        <v>10</v>
      </c>
      <c r="P51" s="239">
        <v>6</v>
      </c>
      <c r="Q51" s="280">
        <v>16</v>
      </c>
      <c r="R51" s="280">
        <f>10+2</f>
        <v>12</v>
      </c>
      <c r="S51" s="311">
        <v>17</v>
      </c>
      <c r="T51" s="280">
        <v>13</v>
      </c>
      <c r="U51" s="502">
        <v>15</v>
      </c>
      <c r="V51" s="511">
        <v>20</v>
      </c>
      <c r="W51" s="249">
        <f>11+3</f>
        <v>14</v>
      </c>
      <c r="X51" s="5">
        <v>18</v>
      </c>
      <c r="Y51" s="5">
        <v>26</v>
      </c>
      <c r="Z51" s="72">
        <v>10</v>
      </c>
      <c r="AA51" s="72">
        <v>22</v>
      </c>
      <c r="AB51" s="72">
        <v>18</v>
      </c>
      <c r="AC51" s="72">
        <v>8</v>
      </c>
      <c r="AD51" s="72">
        <v>14</v>
      </c>
      <c r="AE51" s="72">
        <v>8</v>
      </c>
      <c r="AF51" s="73">
        <v>7</v>
      </c>
      <c r="AG51" s="205" t="str">
        <f t="shared" si="0"/>
        <v xml:space="preserve"> </v>
      </c>
      <c r="AH51" s="206" t="str">
        <f t="shared" si="1"/>
        <v xml:space="preserve"> </v>
      </c>
      <c r="AI51" s="207" t="str">
        <f t="shared" si="2"/>
        <v xml:space="preserve"> </v>
      </c>
      <c r="AJ51" s="120">
        <f t="shared" si="3"/>
        <v>9.6666666666666661</v>
      </c>
      <c r="AK51" s="331">
        <f t="shared" si="4"/>
        <v>35</v>
      </c>
      <c r="AL51" s="326" t="str">
        <f t="shared" si="9"/>
        <v>No</v>
      </c>
      <c r="AM51" s="326" t="str">
        <f t="shared" si="10"/>
        <v>No</v>
      </c>
    </row>
    <row r="52" spans="1:39" ht="13.2" x14ac:dyDescent="0.25">
      <c r="A52" s="359" t="s">
        <v>11</v>
      </c>
      <c r="B52" s="74"/>
      <c r="C52" s="74"/>
      <c r="D52" s="74"/>
      <c r="E52" s="74"/>
      <c r="F52" s="74"/>
      <c r="G52" s="74"/>
      <c r="H52" s="7"/>
      <c r="I52" s="7"/>
      <c r="J52" s="74">
        <v>23</v>
      </c>
      <c r="K52" s="74">
        <v>28</v>
      </c>
      <c r="L52" s="74">
        <v>42</v>
      </c>
      <c r="M52" s="74">
        <v>59</v>
      </c>
      <c r="N52" s="7">
        <v>66</v>
      </c>
      <c r="O52" s="240">
        <v>61</v>
      </c>
      <c r="P52" s="240">
        <v>90</v>
      </c>
      <c r="Q52" s="281">
        <v>90</v>
      </c>
      <c r="R52" s="281">
        <f>48+7</f>
        <v>55</v>
      </c>
      <c r="S52" s="312">
        <f>58+5</f>
        <v>63</v>
      </c>
      <c r="T52" s="281">
        <v>43</v>
      </c>
      <c r="U52" s="503">
        <f>48+6</f>
        <v>54</v>
      </c>
      <c r="V52" s="512">
        <v>46</v>
      </c>
      <c r="W52" s="250">
        <f>49+3</f>
        <v>52</v>
      </c>
      <c r="X52" s="7">
        <v>75</v>
      </c>
      <c r="Y52" s="7">
        <v>56</v>
      </c>
      <c r="Z52" s="75">
        <v>66</v>
      </c>
      <c r="AA52" s="75">
        <v>56</v>
      </c>
      <c r="AB52" s="75">
        <v>64</v>
      </c>
      <c r="AC52" s="75">
        <v>55</v>
      </c>
      <c r="AD52" s="75">
        <v>44</v>
      </c>
      <c r="AE52" s="75">
        <v>48</v>
      </c>
      <c r="AF52" s="76">
        <f>42+2</f>
        <v>44</v>
      </c>
      <c r="AG52" s="208">
        <f t="shared" si="0"/>
        <v>-8.3333333333333329E-2</v>
      </c>
      <c r="AH52" s="209">
        <f t="shared" si="1"/>
        <v>-0.21428571428571427</v>
      </c>
      <c r="AI52" s="210">
        <f t="shared" si="2"/>
        <v>-4.3478260869565216E-2</v>
      </c>
      <c r="AJ52" s="222">
        <f t="shared" si="3"/>
        <v>45.333333333333336</v>
      </c>
      <c r="AK52" s="331">
        <f t="shared" si="4"/>
        <v>11</v>
      </c>
      <c r="AL52" s="326" t="str">
        <f t="shared" si="9"/>
        <v>No</v>
      </c>
      <c r="AM52" s="326" t="str">
        <f t="shared" si="10"/>
        <v>No</v>
      </c>
    </row>
    <row r="53" spans="1:39" ht="13.2" x14ac:dyDescent="0.25">
      <c r="A53" s="357" t="s">
        <v>61</v>
      </c>
      <c r="B53" s="71">
        <v>22</v>
      </c>
      <c r="C53" s="71">
        <v>16</v>
      </c>
      <c r="D53" s="71">
        <v>22</v>
      </c>
      <c r="E53" s="71">
        <v>38</v>
      </c>
      <c r="F53" s="71">
        <v>36</v>
      </c>
      <c r="G53" s="71">
        <v>33</v>
      </c>
      <c r="H53" s="5">
        <v>56</v>
      </c>
      <c r="I53" s="5">
        <v>69</v>
      </c>
      <c r="J53" s="71">
        <v>65</v>
      </c>
      <c r="K53" s="71">
        <v>36</v>
      </c>
      <c r="L53" s="71">
        <v>38</v>
      </c>
      <c r="M53" s="71">
        <v>25</v>
      </c>
      <c r="N53" s="5">
        <v>25</v>
      </c>
      <c r="O53" s="239">
        <v>29</v>
      </c>
      <c r="P53" s="239">
        <v>21</v>
      </c>
      <c r="Q53" s="280">
        <v>27</v>
      </c>
      <c r="R53" s="280">
        <f>32+3</f>
        <v>35</v>
      </c>
      <c r="S53" s="311">
        <f>49+5</f>
        <v>54</v>
      </c>
      <c r="T53" s="280">
        <v>64</v>
      </c>
      <c r="U53" s="502">
        <f>56+8</f>
        <v>64</v>
      </c>
      <c r="V53" s="511">
        <v>67</v>
      </c>
      <c r="W53" s="249">
        <f>38+16</f>
        <v>54</v>
      </c>
      <c r="X53" s="5">
        <v>59</v>
      </c>
      <c r="Y53" s="5">
        <v>56</v>
      </c>
      <c r="Z53" s="72">
        <v>68</v>
      </c>
      <c r="AA53" s="72">
        <v>51</v>
      </c>
      <c r="AB53" s="72">
        <v>66</v>
      </c>
      <c r="AC53" s="72">
        <v>48</v>
      </c>
      <c r="AD53" s="72">
        <v>55</v>
      </c>
      <c r="AE53" s="72">
        <v>57</v>
      </c>
      <c r="AF53" s="73">
        <f>36+3</f>
        <v>39</v>
      </c>
      <c r="AG53" s="205">
        <f t="shared" si="0"/>
        <v>-0.31578947368421051</v>
      </c>
      <c r="AH53" s="206">
        <f t="shared" si="1"/>
        <v>-0.23529411764705882</v>
      </c>
      <c r="AI53" s="207">
        <f t="shared" si="2"/>
        <v>-0.41791044776119401</v>
      </c>
      <c r="AJ53" s="120">
        <f t="shared" si="3"/>
        <v>50.333333333333336</v>
      </c>
      <c r="AK53" s="331">
        <f t="shared" si="4"/>
        <v>12</v>
      </c>
      <c r="AL53" s="326" t="str">
        <f t="shared" si="9"/>
        <v>No</v>
      </c>
      <c r="AM53" s="326" t="str">
        <f t="shared" si="10"/>
        <v>No</v>
      </c>
    </row>
    <row r="54" spans="1:39" ht="13.2" x14ac:dyDescent="0.25">
      <c r="A54" s="361" t="s">
        <v>129</v>
      </c>
      <c r="B54" s="71"/>
      <c r="C54" s="71"/>
      <c r="D54" s="71"/>
      <c r="E54" s="71"/>
      <c r="F54" s="71"/>
      <c r="G54" s="71"/>
      <c r="H54" s="5"/>
      <c r="I54" s="5"/>
      <c r="J54" s="71"/>
      <c r="K54" s="71"/>
      <c r="L54" s="71"/>
      <c r="M54" s="71"/>
      <c r="N54" s="5"/>
      <c r="O54" s="239"/>
      <c r="P54" s="239"/>
      <c r="Q54" s="280"/>
      <c r="R54" s="280">
        <v>0</v>
      </c>
      <c r="S54" s="311"/>
      <c r="T54" s="280">
        <v>0</v>
      </c>
      <c r="U54" s="484"/>
      <c r="V54" s="511"/>
      <c r="W54" s="249">
        <v>2</v>
      </c>
      <c r="X54" s="5">
        <v>5</v>
      </c>
      <c r="Y54" s="5">
        <v>1</v>
      </c>
      <c r="Z54" s="72">
        <v>3</v>
      </c>
      <c r="AA54" s="72">
        <v>3</v>
      </c>
      <c r="AB54" s="72">
        <v>2</v>
      </c>
      <c r="AC54" s="72">
        <v>2</v>
      </c>
      <c r="AD54" s="72">
        <v>9</v>
      </c>
      <c r="AE54" s="72">
        <v>11</v>
      </c>
      <c r="AF54" s="73">
        <v>11</v>
      </c>
      <c r="AG54" s="205" t="str">
        <f t="shared" si="0"/>
        <v xml:space="preserve"> </v>
      </c>
      <c r="AH54" s="206" t="str">
        <f t="shared" si="1"/>
        <v xml:space="preserve"> </v>
      </c>
      <c r="AI54" s="207" t="str">
        <f t="shared" si="2"/>
        <v xml:space="preserve"> </v>
      </c>
      <c r="AJ54" s="120">
        <f t="shared" si="3"/>
        <v>10.333333333333334</v>
      </c>
      <c r="AK54" s="331">
        <f t="shared" si="4"/>
        <v>28</v>
      </c>
      <c r="AL54" s="326" t="str">
        <f t="shared" si="9"/>
        <v>No</v>
      </c>
      <c r="AM54" s="326" t="str">
        <f t="shared" si="10"/>
        <v>No</v>
      </c>
    </row>
    <row r="55" spans="1:39" ht="13.2" x14ac:dyDescent="0.25">
      <c r="A55" s="357" t="s">
        <v>16</v>
      </c>
      <c r="B55" s="71"/>
      <c r="C55" s="71"/>
      <c r="D55" s="71"/>
      <c r="E55" s="71"/>
      <c r="F55" s="71"/>
      <c r="G55" s="71"/>
      <c r="H55" s="5"/>
      <c r="I55" s="5"/>
      <c r="J55" s="71">
        <v>1</v>
      </c>
      <c r="K55" s="71">
        <v>20</v>
      </c>
      <c r="L55" s="71">
        <v>54</v>
      </c>
      <c r="M55" s="71">
        <v>91</v>
      </c>
      <c r="N55" s="5">
        <v>95</v>
      </c>
      <c r="O55" s="239">
        <v>91</v>
      </c>
      <c r="P55" s="239">
        <v>102</v>
      </c>
      <c r="Q55" s="280">
        <v>103</v>
      </c>
      <c r="R55" s="280">
        <f>101+4</f>
        <v>105</v>
      </c>
      <c r="S55" s="311">
        <f>95+3</f>
        <v>98</v>
      </c>
      <c r="T55" s="280">
        <v>89</v>
      </c>
      <c r="U55" s="502">
        <f>95+4</f>
        <v>99</v>
      </c>
      <c r="V55" s="511">
        <v>108</v>
      </c>
      <c r="W55" s="249">
        <v>109</v>
      </c>
      <c r="X55" s="5">
        <v>98</v>
      </c>
      <c r="Y55" s="5">
        <v>94</v>
      </c>
      <c r="Z55" s="72">
        <v>101</v>
      </c>
      <c r="AA55" s="72">
        <v>96</v>
      </c>
      <c r="AB55" s="72">
        <v>94</v>
      </c>
      <c r="AC55" s="72">
        <v>74</v>
      </c>
      <c r="AD55" s="72">
        <v>92</v>
      </c>
      <c r="AE55" s="72">
        <v>97</v>
      </c>
      <c r="AF55" s="73">
        <f>72+1</f>
        <v>73</v>
      </c>
      <c r="AG55" s="205">
        <f t="shared" si="0"/>
        <v>-0.24742268041237114</v>
      </c>
      <c r="AH55" s="206">
        <f t="shared" si="1"/>
        <v>-0.23958333333333334</v>
      </c>
      <c r="AI55" s="207">
        <f t="shared" si="2"/>
        <v>-0.32407407407407407</v>
      </c>
      <c r="AJ55" s="120">
        <f t="shared" si="3"/>
        <v>87.333333333333329</v>
      </c>
      <c r="AK55" s="331">
        <f t="shared" si="4"/>
        <v>6</v>
      </c>
      <c r="AL55" s="326" t="str">
        <f t="shared" si="9"/>
        <v>No</v>
      </c>
      <c r="AM55" s="326" t="str">
        <f t="shared" si="10"/>
        <v>No</v>
      </c>
    </row>
    <row r="56" spans="1:39" ht="13.2" x14ac:dyDescent="0.25">
      <c r="A56" s="480" t="s">
        <v>17</v>
      </c>
      <c r="B56" s="105"/>
      <c r="C56" s="105"/>
      <c r="D56" s="105"/>
      <c r="E56" s="105"/>
      <c r="F56" s="105"/>
      <c r="G56" s="105"/>
      <c r="H56" s="90"/>
      <c r="I56" s="90"/>
      <c r="J56" s="105">
        <v>11</v>
      </c>
      <c r="K56" s="105">
        <v>37</v>
      </c>
      <c r="L56" s="105">
        <v>61</v>
      </c>
      <c r="M56" s="105">
        <v>54</v>
      </c>
      <c r="N56" s="90">
        <v>68</v>
      </c>
      <c r="O56" s="247">
        <v>100</v>
      </c>
      <c r="P56" s="247">
        <v>93</v>
      </c>
      <c r="Q56" s="289">
        <v>72</v>
      </c>
      <c r="R56" s="289">
        <f>47+3</f>
        <v>50</v>
      </c>
      <c r="S56" s="316">
        <f>51+2</f>
        <v>53</v>
      </c>
      <c r="T56" s="289">
        <v>57</v>
      </c>
      <c r="U56" s="517">
        <f>45+3</f>
        <v>48</v>
      </c>
      <c r="V56" s="519">
        <v>70</v>
      </c>
      <c r="W56" s="255">
        <v>72</v>
      </c>
      <c r="X56" s="90">
        <v>78</v>
      </c>
      <c r="Y56" s="90">
        <v>81</v>
      </c>
      <c r="Z56" s="79">
        <v>79</v>
      </c>
      <c r="AA56" s="79">
        <v>85</v>
      </c>
      <c r="AB56" s="79">
        <v>107</v>
      </c>
      <c r="AC56" s="79">
        <v>67</v>
      </c>
      <c r="AD56" s="79">
        <v>86</v>
      </c>
      <c r="AE56" s="79">
        <v>60</v>
      </c>
      <c r="AF56" s="78">
        <f>63+1</f>
        <v>64</v>
      </c>
      <c r="AG56" s="473">
        <f t="shared" si="0"/>
        <v>6.6666666666666666E-2</v>
      </c>
      <c r="AH56" s="474">
        <f t="shared" si="1"/>
        <v>-0.24705882352941178</v>
      </c>
      <c r="AI56" s="475">
        <f t="shared" si="2"/>
        <v>-8.5714285714285715E-2</v>
      </c>
      <c r="AJ56" s="469">
        <f t="shared" si="3"/>
        <v>70</v>
      </c>
      <c r="AK56" s="331">
        <f t="shared" si="4"/>
        <v>8</v>
      </c>
      <c r="AL56" s="326" t="str">
        <f t="shared" si="9"/>
        <v>No</v>
      </c>
      <c r="AM56" s="326" t="str">
        <f t="shared" si="10"/>
        <v>No</v>
      </c>
    </row>
    <row r="57" spans="1:39" ht="13.2" x14ac:dyDescent="0.25">
      <c r="A57" s="471" t="s">
        <v>7</v>
      </c>
      <c r="B57" s="96"/>
      <c r="C57" s="96">
        <v>0</v>
      </c>
      <c r="D57" s="96"/>
      <c r="E57" s="96">
        <v>0</v>
      </c>
      <c r="F57" s="96">
        <v>0</v>
      </c>
      <c r="G57" s="96">
        <v>0</v>
      </c>
      <c r="H57" s="89">
        <v>0</v>
      </c>
      <c r="I57" s="89">
        <v>0</v>
      </c>
      <c r="J57" s="96">
        <v>0</v>
      </c>
      <c r="K57" s="96">
        <v>0</v>
      </c>
      <c r="L57" s="96">
        <v>12</v>
      </c>
      <c r="M57" s="96">
        <v>22</v>
      </c>
      <c r="N57" s="89">
        <v>28</v>
      </c>
      <c r="O57" s="238">
        <v>34</v>
      </c>
      <c r="P57" s="238">
        <v>43</v>
      </c>
      <c r="Q57" s="286">
        <v>36</v>
      </c>
      <c r="R57" s="286">
        <f>43+2</f>
        <v>45</v>
      </c>
      <c r="S57" s="310">
        <v>39</v>
      </c>
      <c r="T57" s="286">
        <v>56</v>
      </c>
      <c r="U57" s="501">
        <f>70+1</f>
        <v>71</v>
      </c>
      <c r="V57" s="510">
        <v>42</v>
      </c>
      <c r="W57" s="253">
        <f>55+2</f>
        <v>57</v>
      </c>
      <c r="X57" s="89">
        <v>59</v>
      </c>
      <c r="Y57" s="89">
        <v>48</v>
      </c>
      <c r="Z57" s="88">
        <v>39</v>
      </c>
      <c r="AA57" s="88">
        <v>48</v>
      </c>
      <c r="AB57" s="88">
        <v>58</v>
      </c>
      <c r="AC57" s="88">
        <v>49</v>
      </c>
      <c r="AD57" s="88">
        <v>56</v>
      </c>
      <c r="AE57" s="88">
        <v>36</v>
      </c>
      <c r="AF57" s="97">
        <v>53</v>
      </c>
      <c r="AG57" s="109">
        <f t="shared" si="0"/>
        <v>0.47222222222222221</v>
      </c>
      <c r="AH57" s="211">
        <f t="shared" si="1"/>
        <v>0.10416666666666667</v>
      </c>
      <c r="AI57" s="212">
        <f t="shared" si="2"/>
        <v>0.26190476190476192</v>
      </c>
      <c r="AJ57" s="223">
        <f t="shared" si="3"/>
        <v>48.333333333333336</v>
      </c>
      <c r="AK57" s="331">
        <f t="shared" si="4"/>
        <v>10</v>
      </c>
      <c r="AL57" s="326" t="str">
        <f t="shared" si="9"/>
        <v>No</v>
      </c>
      <c r="AM57" s="326" t="str">
        <f t="shared" si="10"/>
        <v>No</v>
      </c>
    </row>
    <row r="58" spans="1:39" ht="13.2" x14ac:dyDescent="0.25">
      <c r="A58" s="357" t="s">
        <v>8</v>
      </c>
      <c r="B58" s="71">
        <v>163</v>
      </c>
      <c r="C58" s="71">
        <v>161</v>
      </c>
      <c r="D58" s="71">
        <v>185</v>
      </c>
      <c r="E58" s="71">
        <v>160</v>
      </c>
      <c r="F58" s="71">
        <v>167</v>
      </c>
      <c r="G58" s="71">
        <v>137</v>
      </c>
      <c r="H58" s="5">
        <v>168</v>
      </c>
      <c r="I58" s="5">
        <v>169</v>
      </c>
      <c r="J58" s="71">
        <v>194</v>
      </c>
      <c r="K58" s="71">
        <v>145</v>
      </c>
      <c r="L58" s="71">
        <v>108</v>
      </c>
      <c r="M58" s="71">
        <v>129</v>
      </c>
      <c r="N58" s="5">
        <v>113</v>
      </c>
      <c r="O58" s="239">
        <v>98</v>
      </c>
      <c r="P58" s="239">
        <v>97</v>
      </c>
      <c r="Q58" s="280">
        <v>93</v>
      </c>
      <c r="R58" s="280">
        <f>96+4</f>
        <v>100</v>
      </c>
      <c r="S58" s="311">
        <f>113+3</f>
        <v>116</v>
      </c>
      <c r="T58" s="280">
        <v>117</v>
      </c>
      <c r="U58" s="502">
        <f>115+9</f>
        <v>124</v>
      </c>
      <c r="V58" s="511">
        <v>102</v>
      </c>
      <c r="W58" s="249">
        <v>122</v>
      </c>
      <c r="X58" s="5">
        <v>113</v>
      </c>
      <c r="Y58" s="5">
        <v>81</v>
      </c>
      <c r="Z58" s="72">
        <v>90</v>
      </c>
      <c r="AA58" s="72">
        <v>77</v>
      </c>
      <c r="AB58" s="72">
        <v>49</v>
      </c>
      <c r="AC58" s="72">
        <v>76</v>
      </c>
      <c r="AD58" s="72">
        <v>78</v>
      </c>
      <c r="AE58" s="72">
        <v>67</v>
      </c>
      <c r="AF58" s="73">
        <f>65+1</f>
        <v>66</v>
      </c>
      <c r="AG58" s="205">
        <f t="shared" si="0"/>
        <v>-1.4925373134328358E-2</v>
      </c>
      <c r="AH58" s="206">
        <f t="shared" si="1"/>
        <v>-0.14285714285714285</v>
      </c>
      <c r="AI58" s="207">
        <f t="shared" si="2"/>
        <v>-0.35294117647058826</v>
      </c>
      <c r="AJ58" s="120">
        <f t="shared" si="3"/>
        <v>70.333333333333329</v>
      </c>
      <c r="AK58" s="331">
        <f t="shared" si="4"/>
        <v>7</v>
      </c>
      <c r="AL58" s="326" t="str">
        <f t="shared" si="9"/>
        <v>No</v>
      </c>
      <c r="AM58" s="326" t="str">
        <f t="shared" si="10"/>
        <v>No</v>
      </c>
    </row>
    <row r="59" spans="1:39" ht="13.2" x14ac:dyDescent="0.25">
      <c r="A59" s="476" t="s">
        <v>141</v>
      </c>
      <c r="B59" s="74"/>
      <c r="C59" s="74"/>
      <c r="D59" s="74"/>
      <c r="E59" s="74"/>
      <c r="F59" s="74"/>
      <c r="G59" s="74"/>
      <c r="H59" s="7"/>
      <c r="I59" s="7"/>
      <c r="J59" s="74"/>
      <c r="K59" s="74"/>
      <c r="L59" s="74"/>
      <c r="M59" s="74"/>
      <c r="N59" s="7"/>
      <c r="O59" s="240"/>
      <c r="P59" s="240"/>
      <c r="Q59" s="281"/>
      <c r="R59" s="281"/>
      <c r="S59" s="312"/>
      <c r="T59" s="281"/>
      <c r="U59" s="503">
        <v>0</v>
      </c>
      <c r="V59" s="564"/>
      <c r="W59" s="565"/>
      <c r="X59" s="566"/>
      <c r="Y59" s="566"/>
      <c r="Z59" s="567"/>
      <c r="AA59" s="569"/>
      <c r="AB59" s="570"/>
      <c r="AC59" s="570"/>
      <c r="AD59" s="570"/>
      <c r="AE59" s="75">
        <v>3</v>
      </c>
      <c r="AF59" s="76">
        <v>11</v>
      </c>
      <c r="AG59" s="208">
        <f t="shared" si="0"/>
        <v>2.6666666666666665</v>
      </c>
      <c r="AH59" s="209"/>
      <c r="AI59" s="210"/>
      <c r="AJ59" s="222" t="str">
        <f t="shared" si="3"/>
        <v xml:space="preserve">  </v>
      </c>
      <c r="AK59" s="331">
        <f t="shared" si="4"/>
        <v>28</v>
      </c>
      <c r="AL59" s="326" t="s">
        <v>153</v>
      </c>
      <c r="AM59" s="326"/>
    </row>
    <row r="60" spans="1:39" ht="13.2" x14ac:dyDescent="0.25">
      <c r="A60" s="357" t="s">
        <v>130</v>
      </c>
      <c r="B60" s="71"/>
      <c r="C60" s="71"/>
      <c r="D60" s="71"/>
      <c r="E60" s="71"/>
      <c r="F60" s="71"/>
      <c r="G60" s="71"/>
      <c r="H60" s="5"/>
      <c r="I60" s="5"/>
      <c r="J60" s="71"/>
      <c r="K60" s="71"/>
      <c r="L60" s="71"/>
      <c r="M60" s="71"/>
      <c r="N60" s="5"/>
      <c r="O60" s="239"/>
      <c r="P60" s="239"/>
      <c r="Q60" s="280"/>
      <c r="R60" s="280">
        <v>0</v>
      </c>
      <c r="S60" s="311"/>
      <c r="T60" s="280">
        <v>0</v>
      </c>
      <c r="U60" s="484"/>
      <c r="V60" s="571"/>
      <c r="W60" s="249">
        <v>0</v>
      </c>
      <c r="X60" s="5">
        <v>0</v>
      </c>
      <c r="Y60" s="5">
        <v>0</v>
      </c>
      <c r="Z60" s="484"/>
      <c r="AA60" s="72">
        <v>1</v>
      </c>
      <c r="AB60" s="72">
        <v>0</v>
      </c>
      <c r="AC60" s="72">
        <v>5</v>
      </c>
      <c r="AD60" s="72">
        <v>7</v>
      </c>
      <c r="AE60" s="72">
        <v>13</v>
      </c>
      <c r="AF60" s="73">
        <v>7</v>
      </c>
      <c r="AG60" s="205" t="str">
        <f t="shared" si="0"/>
        <v xml:space="preserve"> </v>
      </c>
      <c r="AH60" s="206" t="str">
        <f t="shared" si="1"/>
        <v xml:space="preserve"> </v>
      </c>
      <c r="AI60" s="207" t="str">
        <f t="shared" si="2"/>
        <v xml:space="preserve"> </v>
      </c>
      <c r="AJ60" s="120">
        <f t="shared" si="3"/>
        <v>9</v>
      </c>
      <c r="AK60" s="331">
        <f t="shared" si="4"/>
        <v>35</v>
      </c>
      <c r="AL60" s="326" t="str">
        <f t="shared" si="9"/>
        <v>No</v>
      </c>
      <c r="AM60" s="326" t="str">
        <f t="shared" si="10"/>
        <v>No</v>
      </c>
    </row>
    <row r="61" spans="1:39" ht="13.2" x14ac:dyDescent="0.25">
      <c r="A61" s="472" t="s">
        <v>21</v>
      </c>
      <c r="B61" s="105">
        <v>38</v>
      </c>
      <c r="C61" s="105">
        <v>48</v>
      </c>
      <c r="D61" s="105">
        <v>68</v>
      </c>
      <c r="E61" s="105">
        <v>56</v>
      </c>
      <c r="F61" s="105">
        <v>52</v>
      </c>
      <c r="G61" s="105">
        <v>63</v>
      </c>
      <c r="H61" s="90">
        <v>62</v>
      </c>
      <c r="I61" s="90">
        <v>63</v>
      </c>
      <c r="J61" s="105">
        <v>37</v>
      </c>
      <c r="K61" s="105">
        <v>38</v>
      </c>
      <c r="L61" s="105">
        <v>34</v>
      </c>
      <c r="M61" s="105">
        <v>41</v>
      </c>
      <c r="N61" s="90">
        <v>43</v>
      </c>
      <c r="O61" s="247">
        <v>30</v>
      </c>
      <c r="P61" s="247">
        <v>28</v>
      </c>
      <c r="Q61" s="289">
        <v>37</v>
      </c>
      <c r="R61" s="289">
        <v>38</v>
      </c>
      <c r="S61" s="316">
        <v>29</v>
      </c>
      <c r="T61" s="289">
        <v>44</v>
      </c>
      <c r="U61" s="517">
        <v>40</v>
      </c>
      <c r="V61" s="519">
        <v>22</v>
      </c>
      <c r="W61" s="255">
        <v>21</v>
      </c>
      <c r="X61" s="90">
        <v>31</v>
      </c>
      <c r="Y61" s="90">
        <v>22</v>
      </c>
      <c r="Z61" s="79">
        <v>18</v>
      </c>
      <c r="AA61" s="79">
        <v>25</v>
      </c>
      <c r="AB61" s="79">
        <v>25</v>
      </c>
      <c r="AC61" s="79">
        <v>35</v>
      </c>
      <c r="AD61" s="79">
        <v>18</v>
      </c>
      <c r="AE61" s="79">
        <v>30</v>
      </c>
      <c r="AF61" s="78">
        <v>29</v>
      </c>
      <c r="AG61" s="473">
        <f t="shared" si="0"/>
        <v>-3.3333333333333333E-2</v>
      </c>
      <c r="AH61" s="474">
        <f t="shared" si="1"/>
        <v>0.16</v>
      </c>
      <c r="AI61" s="475">
        <f t="shared" si="2"/>
        <v>0.31818181818181818</v>
      </c>
      <c r="AJ61" s="469">
        <f t="shared" si="3"/>
        <v>25.666666666666668</v>
      </c>
      <c r="AK61" s="331">
        <f t="shared" si="4"/>
        <v>18</v>
      </c>
      <c r="AL61" s="326" t="str">
        <f t="shared" si="9"/>
        <v>No</v>
      </c>
      <c r="AM61" s="326" t="str">
        <f t="shared" si="10"/>
        <v>No</v>
      </c>
    </row>
    <row r="62" spans="1:39" ht="12" x14ac:dyDescent="0.25">
      <c r="T62" s="410"/>
      <c r="U62" s="410"/>
      <c r="V62" s="410"/>
      <c r="W62" s="410"/>
      <c r="X62" s="410"/>
      <c r="Y62" s="411"/>
      <c r="Z62" s="411"/>
      <c r="AA62" s="411"/>
      <c r="AB62" s="411"/>
      <c r="AC62" s="411"/>
      <c r="AD62" s="411"/>
      <c r="AE62" s="411"/>
      <c r="AF62" s="411"/>
      <c r="AG62" s="412"/>
      <c r="AH62" s="412"/>
      <c r="AI62" s="3"/>
    </row>
  </sheetData>
  <mergeCells count="6">
    <mergeCell ref="A1:AJ1"/>
    <mergeCell ref="A3:A4"/>
    <mergeCell ref="AG3:AG4"/>
    <mergeCell ref="AH3:AH4"/>
    <mergeCell ref="AI3:AI4"/>
    <mergeCell ref="AJ3:AJ4"/>
  </mergeCells>
  <printOptions horizontalCentered="1"/>
  <pageMargins left="0.5" right="0.5" top="0.48" bottom="0.5" header="0.5" footer="0.25"/>
  <pageSetup scale="77" orientation="portrait" r:id="rId1"/>
  <headerFooter alignWithMargins="0">
    <oddFooter>&amp;L&amp;"Times New Roman,Regular"&amp;9Source: MHEC DIS&amp;C&amp;"Times New Roman,Regular"&amp;10C-6.0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C-6</vt:lpstr>
      <vt:lpstr>UG_ranked_2025</vt:lpstr>
      <vt:lpstr>Low_productivity_2025</vt:lpstr>
      <vt:lpstr>'C-6'!Print_Area</vt:lpstr>
      <vt:lpstr>Low_productivity_2025!Print_Area</vt:lpstr>
      <vt:lpstr>UG_ranked_2025!Print_Area</vt:lpstr>
    </vt:vector>
  </TitlesOfParts>
  <Company>Salisbury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Maureen Belich</cp:lastModifiedBy>
  <cp:lastPrinted>2025-08-06T12:22:00Z</cp:lastPrinted>
  <dcterms:created xsi:type="dcterms:W3CDTF">2005-10-04T15:11:02Z</dcterms:created>
  <dcterms:modified xsi:type="dcterms:W3CDTF">2025-08-06T12:22:06Z</dcterms:modified>
</cp:coreProperties>
</file>